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Tlg/Uyqyr56uXkVa32V8ko0i7ooQJEo4gDZIfgl+eufBmeSG2G52NexjMWXgjnzf3m1SzXly/QyXJsLB5yX6Qg==" workbookSaltValue="Vnq8SFaeO+TrUEdRf2Gi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U26" i="16"/>
  <c r="BE17" i="13"/>
  <c r="E32" i="20"/>
  <c r="M32" i="20"/>
  <c r="AI32" i="20"/>
  <c r="AM32" i="20"/>
  <c r="U10" i="11"/>
  <c r="I32" i="20"/>
  <c r="J32" i="20"/>
  <c r="Q32" i="20"/>
  <c r="AK32" i="20"/>
  <c r="AE32" i="20"/>
  <c r="U12" i="11"/>
  <c r="AU32" i="20"/>
  <c r="AZ32" i="20"/>
  <c r="G14" i="14"/>
  <c r="O18" i="11"/>
  <c r="R32" i="20"/>
  <c r="W32" i="20"/>
  <c r="G30" i="14"/>
  <c r="G23" i="14"/>
  <c r="U18" i="11"/>
  <c r="AX32" i="20"/>
  <c r="L32" i="20"/>
  <c r="AG32" i="20"/>
  <c r="T32" i="21"/>
  <c r="AF32" i="20"/>
  <c r="K32" i="20"/>
  <c r="O17" i="11"/>
  <c r="AJ32" i="20"/>
  <c r="Y32" i="20"/>
  <c r="H32" i="20"/>
  <c r="F32" i="20"/>
  <c r="G26" i="14"/>
  <c r="S32" i="20"/>
  <c r="AQ32" i="21"/>
  <c r="BF17" i="8" l="1"/>
  <c r="BF16" i="8"/>
  <c r="J16" i="7" s="1"/>
  <c r="F16" i="11"/>
  <c r="AQ16" i="11" s="1"/>
  <c r="BF17" i="13"/>
  <c r="R13" i="17"/>
  <c r="P13" i="14"/>
  <c r="R13" i="14" s="1"/>
  <c r="BF16" i="13"/>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17" i="12"/>
  <c r="BF23" i="13"/>
  <c r="K9" i="12"/>
  <c r="BL9" i="11"/>
  <c r="BH21" i="16"/>
  <c r="BF11" i="11"/>
  <c r="X12" i="21"/>
  <c r="T28" i="11"/>
  <c r="T19" i="11"/>
  <c r="R28" i="14"/>
  <c r="R18" i="14"/>
  <c r="S28" i="14"/>
  <c r="V28" i="14" s="1"/>
  <c r="S21" i="14"/>
  <c r="V21" i="14" s="1"/>
  <c r="AP17" i="20"/>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9" i="11"/>
  <c r="AZ13" i="11"/>
  <c r="BL11" i="11"/>
  <c r="BH28" i="16"/>
  <c r="R18" i="20"/>
  <c r="R23" i="20" s="1"/>
  <c r="V29" i="11"/>
  <c r="BL21" i="11"/>
  <c r="Q21" i="11" s="1"/>
  <c r="V22" i="11"/>
  <c r="BK18" i="11"/>
  <c r="BK23" i="11" s="1"/>
  <c r="AZ21" i="11"/>
  <c r="T18" i="16"/>
  <c r="BM20" i="11"/>
  <c r="AP18" i="20"/>
  <c r="BJ28" i="11"/>
  <c r="BG21" i="11"/>
  <c r="BU28" i="17"/>
  <c r="BU25" i="17"/>
  <c r="BU11" i="17"/>
  <c r="BV28" i="16"/>
  <c r="BW9" i="20"/>
  <c r="BV13" i="16"/>
  <c r="BU21" i="17"/>
  <c r="BW13" i="20"/>
  <c r="BV17" i="16"/>
  <c r="BV21" i="16"/>
  <c r="BW17" i="20"/>
  <c r="BU29" i="17"/>
  <c r="BV25" i="16"/>
  <c r="BV11" i="16"/>
  <c r="X21" i="16"/>
  <c r="BW11" i="20"/>
  <c r="BW33" i="20" s="1"/>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L19" i="11"/>
  <c r="BJ18" i="11"/>
  <c r="BM17" i="11"/>
  <c r="BF21" i="11"/>
  <c r="BF17" i="11"/>
  <c r="BL12" i="11"/>
  <c r="BK21" i="11"/>
  <c r="BI25" i="11"/>
  <c r="V13" i="11"/>
  <c r="BI19" i="11"/>
  <c r="AP22" i="20"/>
  <c r="BG16" i="11"/>
  <c r="BH13" i="11"/>
  <c r="BL13" i="11"/>
  <c r="P13" i="11" s="1"/>
  <c r="BH18" i="11"/>
  <c r="BM16" i="11"/>
  <c r="AO28" i="17"/>
  <c r="BJ25" i="11"/>
  <c r="AZ16" i="11"/>
  <c r="AZ23" i="11" s="1"/>
  <c r="AZ26" i="11" s="1"/>
  <c r="BU16" i="17"/>
  <c r="BW19" i="20"/>
  <c r="X20" i="16"/>
  <c r="BU10" i="17"/>
  <c r="BW25" i="20"/>
  <c r="BU22" i="17"/>
  <c r="U13" i="17"/>
  <c r="BU20" i="17"/>
  <c r="BW29" i="20"/>
  <c r="BW22" i="20"/>
  <c r="BV29" i="16"/>
  <c r="BW21" i="20"/>
  <c r="BV9" i="16"/>
  <c r="BV14" i="16" s="1"/>
  <c r="AZ17" i="11"/>
  <c r="BG12" i="11"/>
  <c r="BI20" i="11"/>
  <c r="BI9" i="11"/>
  <c r="BL28" i="11"/>
  <c r="BL10" i="11"/>
  <c r="BH10" i="16"/>
  <c r="BH11" i="11"/>
  <c r="S18" i="17"/>
  <c r="BM9" i="11"/>
  <c r="BH12" i="16"/>
  <c r="L12" i="2"/>
  <c r="X10" i="21"/>
  <c r="V10" i="16"/>
  <c r="X13" i="16"/>
  <c r="BJ22" i="11"/>
  <c r="BG10" i="11"/>
  <c r="V11" i="16"/>
  <c r="V25" i="11"/>
  <c r="BF10" i="11"/>
  <c r="Q10" i="11" s="1"/>
  <c r="V11" i="11"/>
  <c r="BM12" i="11"/>
  <c r="V9" i="11"/>
  <c r="BJ16" i="11"/>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I21" i="11"/>
  <c r="L10" i="2"/>
  <c r="L28" i="2"/>
  <c r="X21" i="20"/>
  <c r="L16" i="2"/>
  <c r="L17" i="2"/>
  <c r="L18" i="2"/>
  <c r="X16" i="16"/>
  <c r="X23" i="16" s="1"/>
  <c r="X26" i="16" s="1"/>
  <c r="AA11" i="16"/>
  <c r="L9" i="2"/>
  <c r="V25" i="16"/>
  <c r="BJ17" i="11"/>
  <c r="BK22" i="11"/>
  <c r="BL17" i="11"/>
  <c r="BH22" i="11"/>
  <c r="X12" i="17"/>
  <c r="L22" i="2"/>
  <c r="X22" i="16"/>
  <c r="S16" i="17"/>
  <c r="S17" i="17"/>
  <c r="X19" i="16"/>
  <c r="L20" i="2"/>
  <c r="U9" i="17"/>
  <c r="U31" i="17" s="1"/>
  <c r="V9"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S14" i="14"/>
  <c r="BH14" i="11"/>
  <c r="BI23" i="11"/>
  <c r="AQ17" i="11"/>
  <c r="P25" i="11"/>
  <c r="P12"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<sst xmlns="http://schemas.openxmlformats.org/spreadsheetml/2006/main" count="2654" uniqueCount="1184">
  <si>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</si>
  <si>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</si>
  <si>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</si>
  <si>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</si>
  <si>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</si>
  <si>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</si>
  <si>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</si>
  <si>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</si>
  <si>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</si>
  <si>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</si>
  <si>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</si>
  <si>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</si>
  <si>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</si>
  <si>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</si>
  <si>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</si>
  <si>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</si>
  <si>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</si>
  <si>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</si>
  <si>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</si>
  <si>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</si>
  <si>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</si>
  <si>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</si>
  <si>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</si>
  <si>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</si>
  <si>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</si>
  <si>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</si>
  <si>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</si>
  <si>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</si>
  <si>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</si>
  <si>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</si>
  <si>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</si>
  <si>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</si>
  <si>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</si>
  <si>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</si>
  <si>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</si>
  <si>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</si>
  <si>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</si>
  <si>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</si>
  <si>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</si>
  <si>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</si>
  <si>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</si>
  <si>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</si>
  <si>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</si>
  <si>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</si>
  <si>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</si>
  <si>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</si>
  <si>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</si>
  <si>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</si>
  <si>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</si>
  <si>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</si>
  <si>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</si>
  <si>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</si>
  <si>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</si>
  <si>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</si>
  <si>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</si>
  <si>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</si>
  <si>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</si>
  <si>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</si>
  <si>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</si>
  <si>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</si>
  <si>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</si>
  <si>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</si>
  <si>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</si>
  <si>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</si>
  <si>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</si>
  <si>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</si>
  <si>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</si>
  <si>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</si>
  <si>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</si>
  <si>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</si>
  <si>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</si>
  <si>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</si>
  <si>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</si>
  <si>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</si>
  <si>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</si>
  <si>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</si>
  <si>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</si>
  <si>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</si>
  <si>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</si>
  <si>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</si>
  <si>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</si>
  <si>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</si>
  <si>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</si>
  <si>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</si>
  <si>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</si>
  <si>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</si>
  <si>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</si>
  <si>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</si>
  <si>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</si>
  <si>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</si>
  <si>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</si>
  <si>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</si>
  <si>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</si>
  <si>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</si>
  <si>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</si>
  <si>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</si>
  <si>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</si>
  <si>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</si>
  <si>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</si>
  <si>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</si>
  <si>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</si>
  <si>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</si>
  <si>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</si>
  <si>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</si>
  <si>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</si>
  <si>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</si>
  <si>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</si>
  <si>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</si>
  <si>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</si>
  <si>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</si>
  <si>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</si>
  <si>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</si>
  <si>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</si>
  <si>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</si>
  <si>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</si>
  <si>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</si>
  <si>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</si>
  <si>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</si>
  <si>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</si>
  <si>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</si>
  <si>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</si>
  <si>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</si>
  <si>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</si>
  <si>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</si>
  <si>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</si>
  <si>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</si>
  <si>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</si>
  <si>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</si>
  <si>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</si>
  <si>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</si>
  <si>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</si>
  <si>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</si>
  <si>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</si>
  <si>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</si>
  <si>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</si>
  <si>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</si>
  <si>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</si>
  <si>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</si>
  <si>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</si>
  <si>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</si>
  <si>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</si>
  <si>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</si>
  <si>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</si>
  <si>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</si>
  <si>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</si>
  <si>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</si>
  <si>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</si>
  <si>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</si>
  <si>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</si>
  <si>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</si>
  <si>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</si>
  <si>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</si>
  <si>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</si>
  <si>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</si>
  <si>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</si>
  <si>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</si>
  <si>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</si>
  <si>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</si>
  <si>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</si>
  <si>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</si>
  <si>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</si>
  <si>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</si>
  <si>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</si>
  <si>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</si>
  <si>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</si>
  <si>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</si>
  <si>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</si>
  <si>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</si>
  <si>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</si>
  <si>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</si>
  <si>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</si>
  <si>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</si>
  <si>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</si>
  <si>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</si>
  <si>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</si>
  <si>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</si>
  <si>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</si>
  <si>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</si>
  <si>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</si>
  <si>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</si>
  <si>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</si>
  <si>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</si>
  <si>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</si>
  <si>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</si>
  <si>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</si>
  <si>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</si>
  <si>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</si>
  <si>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</si>
  <si>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</si>
  <si>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</si>
  <si>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</si>
  <si>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</si>
  <si>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</si>
  <si>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</si>
  <si>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</si>
  <si>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</si>
  <si>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</si>
  <si>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</si>
  <si>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</si>
  <si>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</si>
  <si>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</si>
  <si>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</si>
  <si>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</si>
  <si>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</si>
  <si>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</si>
  <si>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</si>
  <si>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</si>
  <si>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</si>
  <si>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</si>
  <si>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</si>
  <si>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</si>
  <si>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</si>
  <si>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</si>
  <si>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</si>
  <si>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</si>
  <si>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</si>
  <si>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</si>
  <si>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</si>
  <si>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</si>
  <si>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</si>
  <si>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</si>
  <si>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</si>
  <si>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</si>
  <si>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</si>
  <si>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</si>
  <si>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</si>
  <si>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</si>
  <si>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</si>
  <si>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</si>
  <si>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</si>
  <si>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</si>
  <si>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</si>
  <si>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</si>
  <si>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</si>
  <si>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</si>
  <si>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</si>
  <si>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</si>
  <si>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</si>
  <si>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</si>
  <si>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</si>
  <si>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</si>
  <si>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</si>
  <si>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</si>
  <si>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</si>
  <si>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</si>
  <si>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</si>
  <si>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</si>
  <si>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</si>
  <si>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</si>
  <si>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</si>
  <si>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</si>
  <si>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</si>
  <si>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</si>
  <si>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</si>
  <si>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</si>
  <si>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</si>
  <si>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</si>
  <si>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</si>
  <si>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</si>
  <si>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</si>
  <si>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</si>
  <si>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</si>
  <si>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</si>
  <si>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</si>
  <si>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</si>
  <si>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</si>
  <si>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</si>
  <si>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</si>
  <si>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</si>
  <si>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</si>
  <si>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</si>
  <si>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</si>
  <si>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</si>
  <si>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</si>
  <si>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</si>
  <si>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</si>
  <si>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</si>
  <si>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</si>
  <si>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</si>
  <si>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</si>
  <si>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</si>
  <si>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</si>
  <si>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</si>
  <si>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</si>
  <si>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</si>
  <si>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</si>
  <si>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</si>
  <si>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</si>
  <si>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</si>
  <si>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</si>
  <si>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</si>
  <si>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</si>
  <si>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</si>
  <si>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</si>
  <si>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</si>
  <si>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</si>
  <si>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</si>
  <si>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</si>
  <si>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</si>
  <si>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</si>
  <si>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</si>
  <si>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</si>
  <si>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</si>
  <si>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</si>
  <si>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</si>
  <si>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</si>
  <si>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</si>
  <si>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</si>
  <si>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</si>
  <si>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</si>
  <si>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</si>
  <si>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</si>
  <si>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</si>
  <si>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</si>
  <si>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</si>
  <si>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</si>
  <si>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</si>
  <si>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</si>
  <si>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</si>
  <si>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</si>
  <si>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</si>
  <si>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</si>
  <si>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</si>
  <si>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</si>
  <si>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</si>
  <si>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</si>
  <si>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</si>
  <si>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</si>
  <si>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</si>
  <si>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</si>
  <si>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</si>
  <si>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</si>
  <si>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</si>
  <si>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</si>
  <si>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</si>
  <si>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</si>
  <si>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</si>
  <si>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</si>
  <si>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</si>
  <si>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</si>
  <si>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</si>
  <si>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</si>
  <si>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</si>
  <si>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</si>
  <si>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</si>
  <si>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</si>
  <si>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</si>
  <si>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</si>
  <si>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</si>
  <si>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</si>
  <si>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</si>
  <si>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</si>
  <si>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</si>
  <si>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</si>
  <si>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</si>
  <si>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</si>
  <si>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</si>
  <si>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</si>
  <si>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</si>
  <si>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</si>
  <si>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</si>
  <si>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</si>
  <si>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</si>
  <si>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</si>
  <si>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</si>
  <si>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</si>
  <si>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</si>
  <si>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</si>
  <si>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</si>
  <si>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</si>
  <si>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</si>
  <si>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</si>
  <si>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</si>
  <si>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</si>
  <si>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</si>
  <si>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</si>
  <si>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</si>
  <si>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</si>
  <si>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</si>
  <si>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</si>
  <si>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</si>
  <si>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</si>
  <si>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</si>
  <si>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</si>
  <si>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</si>
  <si>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</si>
  <si>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</si>
  <si>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</si>
  <si>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</si>
  <si>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</si>
  <si>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</si>
  <si>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</si>
  <si>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</si>
  <si>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</si>
  <si>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</si>
  <si>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</si>
  <si>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</si>
  <si>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</si>
  <si>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</si>
  <si>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</si>
  <si>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</si>
  <si>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</si>
  <si>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</si>
  <si>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</si>
  <si>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</si>
  <si>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</si>
  <si>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</si>
  <si>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</si>
  <si>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</si>
  <si>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</si>
  <si>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</si>
  <si>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</si>
  <si>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</si>
  <si>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</si>
  <si>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</si>
  <si>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</si>
  <si>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</si>
  <si>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</si>
  <si>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</si>
  <si>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</si>
  <si>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</si>
  <si>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</si>
  <si>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</si>
  <si>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</si>
  <si>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</si>
  <si>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</si>
  <si>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</si>
  <si>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</si>
  <si>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</si>
  <si>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</si>
  <si>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</si>
  <si>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</si>
  <si>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</si>
  <si>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</si>
  <si>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</si>
  <si>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</si>
  <si>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</si>
  <si>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</si>
  <si>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</si>
  <si>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</si>
  <si>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</si>
  <si>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</si>
  <si>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</si>
  <si>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</si>
  <si>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</si>
  <si>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</si>
  <si>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</si>
  <si>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</si>
  <si>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</si>
  <si>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</si>
  <si>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</si>
  <si>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</si>
  <si>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</si>
  <si>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</si>
  <si>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</si>
  <si>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</si>
  <si>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</si>
  <si>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</si>
  <si>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</si>
  <si>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</si>
  <si>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</si>
  <si>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</si>
  <si>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</si>
  <si>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</si>
  <si>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</si>
  <si>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</si>
  <si>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</si>
  <si>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</si>
  <si>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</si>
  <si>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</si>
  <si>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</si>
  <si>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</si>
  <si>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</si>
  <si>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</si>
  <si>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</si>
  <si>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</si>
  <si>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</si>
  <si>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</si>
  <si>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</si>
  <si>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</si>
  <si>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</si>
  <si>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</si>
  <si>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</si>
  <si>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</si>
  <si>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</si>
  <si>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</si>
  <si>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</si>
  <si>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</si>
  <si>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</si>
  <si>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</si>
  <si>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</si>
  <si>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</si>
  <si>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</si>
  <si>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</si>
  <si>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</si>
  <si>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</si>
  <si>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</si>
  <si>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</si>
  <si>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</si>
  <si>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</si>
  <si>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</si>
  <si>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</si>
  <si>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</si>
  <si>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</si>
  <si>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</si>
  <si>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</si>
  <si>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</si>
  <si>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</si>
  <si>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</si>
  <si>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</si>
  <si>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</si>
  <si>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</si>
  <si>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</si>
  <si>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</si>
  <si>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</si>
  <si>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</si>
  <si>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</si>
  <si>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</si>
  <si>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</si>
  <si>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</si>
  <si>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</si>
  <si>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</si>
  <si>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</si>
  <si>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</si>
  <si>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</si>
  <si>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</si>
  <si>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</si>
  <si>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</si>
  <si>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</si>
  <si>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</si>
  <si>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</si>
  <si>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</si>
  <si>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</si>
  <si>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</si>
  <si>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</si>
  <si>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</si>
  <si>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</si>
  <si>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</si>
  <si>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</si>
  <si>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</si>
  <si>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</si>
  <si>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</si>
  <si>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</si>
  <si>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</si>
  <si>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</si>
  <si>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</si>
  <si>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</si>
  <si>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</si>
  <si>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</si>
  <si>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</si>
  <si>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</si>
  <si>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</si>
  <si>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</si>
  <si>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</si>
  <si>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</si>
  <si>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</si>
  <si>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</si>
  <si>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</si>
  <si>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</si>
  <si>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</si>
  <si>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</si>
  <si>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</si>
  <si>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</si>
  <si>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</si>
  <si>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</si>
  <si>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</si>
  <si>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</si>
  <si>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</si>
  <si>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</si>
  <si>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</si>
  <si>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</si>
  <si>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</si>
  <si>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</si>
  <si>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</si>
  <si>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</si>
  <si>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</si>
  <si>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</si>
  <si>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</si>
  <si>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</si>
  <si>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</si>
  <si>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</si>
  <si>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</si>
  <si>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</si>
  <si>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</si>
  <si>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</si>
  <si>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</si>
  <si>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</si>
  <si>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</si>
  <si>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</si>
  <si>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</si>
  <si>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</si>
  <si>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</si>
  <si>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</si>
  <si>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</si>
  <si>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</si>
  <si>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</si>
  <si>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</si>
  <si>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</si>
  <si>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</si>
  <si>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</si>
  <si>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</si>
  <si>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</si>
  <si>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</si>
  <si>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</si>
  <si>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</si>
  <si>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</si>
  <si>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</si>
  <si>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</si>
  <si>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</si>
  <si>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</si>
  <si>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</si>
  <si>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</si>
  <si>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</si>
  <si>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</si>
  <si>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</si>
  <si>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</si>
  <si>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</si>
  <si>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</si>
  <si>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</si>
  <si>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</si>
  <si>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</si>
  <si>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</si>
  <si>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</si>
  <si>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</si>
  <si>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</si>
  <si>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</si>
  <si>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</si>
  <si>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</si>
  <si>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</si>
  <si>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</si>
  <si>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</si>
  <si>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</si>
  <si>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</si>
  <si>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</si>
  <si>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</si>
  <si>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</si>
  <si>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</si>
  <si>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</si>
  <si>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</si>
  <si>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</si>
  <si>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</si>
  <si>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</si>
  <si>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</si>
  <si>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</si>
  <si>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</si>
  <si>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</si>
  <si>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</si>
  <si>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</si>
  <si>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</si>
  <si>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</si>
  <si>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</si>
  <si>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</si>
  <si>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</si>
  <si>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</si>
  <si>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</si>
  <si>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</si>
  <si>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</si>
  <si>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</si>
  <si>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</si>
  <si>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</si>
  <si>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</si>
  <si>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</si>
  <si>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</si>
  <si>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</si>
  <si>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</si>
  <si>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</si>
  <si>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</si>
  <si>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</si>
  <si>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</si>
  <si>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</si>
  <si>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</si>
  <si>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</si>
  <si>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</si>
  <si>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</si>
  <si>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</si>
  <si>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</si>
  <si>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</si>
  <si>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</si>
  <si>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</si>
  <si>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</si>
  <si>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</si>
  <si>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</si>
  <si>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</si>
  <si>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</si>
  <si>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</si>
  <si>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</si>
  <si>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</si>
  <si>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</si>
  <si>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</si>
  <si>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</si>
  <si>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</si>
  <si>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</si>
  <si>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</si>
  <si>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</si>
  <si>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</si>
  <si>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</si>
  <si>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</si>
  <si>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</si>
  <si>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</si>
  <si>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</si>
  <si>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</si>
  <si>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</si>
  <si>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</si>
  <si>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</si>
  <si>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</si>
  <si>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</si>
  <si>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</si>
  <si>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</si>
  <si>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</si>
  <si>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</si>
  <si>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</si>
  <si>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</si>
  <si>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</si>
  <si>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</si>
  <si>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</si>
  <si>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</si>
  <si>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</si>
  <si>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</si>
  <si>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</si>
  <si>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</si>
  <si>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</si>
  <si>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</si>
  <si>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</si>
  <si>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</si>
  <si>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</si>
  <si>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</si>
  <si>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</si>
  <si>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</si>
  <si>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</si>
  <si>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</si>
  <si>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</si>
  <si>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</si>
  <si>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</si>
  <si>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</si>
  <si>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</si>
  <si>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</si>
  <si>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</si>
  <si>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</si>
  <si>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</si>
  <si>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</si>
  <si>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</si>
  <si>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</si>
  <si>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</si>
  <si>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</si>
  <si>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</si>
  <si>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</si>
  <si>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</si>
  <si>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</si>
  <si>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</si>
  <si>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</si>
  <si>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</si>
  <si>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</si>
  <si>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</si>
  <si>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</si>
  <si>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</si>
  <si>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</si>
  <si>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</si>
  <si>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</si>
  <si>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</si>
  <si>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</si>
  <si>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</si>
  <si>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</si>
  <si>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</si>
  <si>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</si>
  <si>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</si>
  <si>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</si>
  <si>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</si>
  <si>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</si>
  <si>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</si>
  <si>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</si>
  <si>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</si>
  <si>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</si>
  <si>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</si>
  <si>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</si>
  <si>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</si>
  <si>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</si>
  <si>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</si>
  <si>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</si>
  <si>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</si>
  <si>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</si>
  <si>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</si>
  <si>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</si>
  <si>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</si>
  <si>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</si>
  <si>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</si>
  <si>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</si>
  <si>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</si>
  <si>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</si>
  <si>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</si>
  <si>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</si>
  <si>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</si>
  <si>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</si>
  <si>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</si>
  <si>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</si>
  <si>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</si>
  <si>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</si>
  <si>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</si>
  <si>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</si>
  <si>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</si>
  <si>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</si>
  <si>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</si>
  <si>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</si>
  <si>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</si>
  <si>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</si>
  <si>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</si>
  <si>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</si>
  <si>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</si>
  <si>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</si>
  <si>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</si>
  <si>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</si>
  <si>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</si>
  <si>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</si>
  <si>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</si>
  <si>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</si>
  <si>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</si>
  <si>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</si>
  <si>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</si>
  <si>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</si>
  <si>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</si>
  <si>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</si>
  <si>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</si>
  <si>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</si>
  <si>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</si>
  <si>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</si>
  <si>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</si>
  <si>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</si>
  <si>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</si>
  <si>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</si>
  <si>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</si>
  <si>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</si>
  <si>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</si>
  <si>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</si>
  <si>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</si>
  <si>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</si>
  <si>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</si>
  <si>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</si>
  <si>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</si>
  <si>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</si>
  <si>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</si>
  <si>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</si>
  <si>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</si>
  <si>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</si>
  <si>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</si>
  <si>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</si>
  <si>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</si>
  <si>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</si>
  <si>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</si>
  <si>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</si>
  <si>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</si>
  <si>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</si>
  <si>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</si>
  <si>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</si>
  <si>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</si>
  <si>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</si>
  <si>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</si>
  <si>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</si>
  <si>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</si>
  <si>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</si>
  <si>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</si>
  <si>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</si>
  <si>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</si>
  <si>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</si>
  <si>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</si>
  <si>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</si>
  <si>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</si>
  <si>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</si>
  <si>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</si>
  <si>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</si>
  <si>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</si>
  <si>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</si>
  <si>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</si>
  <si>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</si>
  <si>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</si>
  <si>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</si>
  <si>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</si>
  <si>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</si>
  <si>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</si>
  <si>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</si>
  <si>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</si>
  <si>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</si>
  <si>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</si>
  <si>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</si>
  <si>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</si>
  <si>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</si>
  <si>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</si>
  <si>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</si>
  <si>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</si>
  <si>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</si>
  <si>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</si>
  <si>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</si>
  <si>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</si>
  <si>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</si>
  <si>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</si>
  <si>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</si>
  <si>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</si>
  <si>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</si>
  <si>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</si>
  <si>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</si>
  <si>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</si>
  <si>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</si>
  <si>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</si>
  <si>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</si>
  <si>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</si>
  <si>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</si>
  <si>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</si>
  <si>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</si>
  <si>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</si>
  <si>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</si>
  <si>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</si>
  <si>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</si>
  <si>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</si>
  <si>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</si>
  <si>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</si>
  <si>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</si>
  <si>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</si>
  <si>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</si>
  <si>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</si>
  <si>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</si>
  <si>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</si>
  <si>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</si>
  <si>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</si>
  <si>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</si>
  <si>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</si>
  <si>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</si>
  <si>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</si>
  <si>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</si>
  <si>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</si>
  <si>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</si>
  <si>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</si>
  <si>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</si>
  <si>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</si>
  <si>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</si>
  <si>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</si>
  <si>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</si>
  <si>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</si>
  <si>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</si>
  <si>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</si>
  <si>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</si>
  <si>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</si>
  <si>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</si>
  <si>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</si>
  <si>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</si>
  <si>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</si>
  <si>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</si>
  <si>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</si>
  <si>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</si>
  <si>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</si>
  <si>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</si>
  <si>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</si>
  <si>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</si>
  <si>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</si>
  <si>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</si>
  <si>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</si>
  <si>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</si>
  <si>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</si>
  <si>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</si>
  <si>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</si>
  <si>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</si>
  <si>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</si>
  <si>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</si>
  <si>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</si>
  <si>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</si>
  <si>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</si>
  <si>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</si>
  <si>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</si>
  <si>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</si>
  <si>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</si>
  <si>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</si>
  <si>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</si>
  <si>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</si>
  <si>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</si>
  <si>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</si>
  <si>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</si>
  <si>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</si>
  <si>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</si>
  <si>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</si>
  <si>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</si>
  <si>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</si>
  <si>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</si>
  <si>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</si>
  <si>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</si>
  <si>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</si>
  <si>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</si>
  <si>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</si>
  <si>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</si>
  <si>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</si>
  <si>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</si>
  <si>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</si>
  <si>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</si>
  <si>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</si>
  <si>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</si>
  <si>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</si>
  <si>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</si>
  <si>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</si>
  <si>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</si>
  <si>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</si>
  <si>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</si>
  <si>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</si>
  <si>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</si>
  <si>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</si>
  <si>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</si>
  <si>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</si>
  <si>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</si>
  <si>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</si>
  <si>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</si>
  <si>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</si>
  <si>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</si>
  <si>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</si>
  <si>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</si>
  <si>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</si>
  <si>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</si>
  <si>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</si>
  <si>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</si>
  <si>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</si>
  <si>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</si>
  <si>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</si>
  <si>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</si>
  <si>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</si>
  <si>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</si>
  <si>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</si>
  <si>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</si>
  <si>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</si>
  <si>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</si>
  <si>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</si>
  <si>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</si>
  <si>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</si>
  <si>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</si>
  <si>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</si>
  <si>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</si>
  <si>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</si>
  <si>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</si>
  <si>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</si>
  <si>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</si>
  <si>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</si>
  <si>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</si>
  <si>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</si>
  <si>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</si>
  <si>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</si>
  <si>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</si>
  <si>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</si>
  <si>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</si>
  <si>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</si>
  <si>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</si>
  <si>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</si>
  <si>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</si>
  <si>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</si>
  <si>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</si>
  <si>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</si>
  <si>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</si>
  <si>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</si>
  <si>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</si>
  <si>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</si>
  <si>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</si>
  <si>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</si>
  <si>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</si>
  <si>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</si>
  <si>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</si>
  <si>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</si>
  <si>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</si>
  <si>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</si>
  <si>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</si>
  <si>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</si>
  <si>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</si>
  <si>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</si>
  <si>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</si>
  <si>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</si>
  <si>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</si>
  <si>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</si>
  <si>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</si>
  <si>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</si>
  <si>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</si>
  <si>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</si>
  <si>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</si>
  <si>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</si>
  <si>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</si>
  <si>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</si>
  <si>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</si>
  <si>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</si>
  <si>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</si>
  <si>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</si>
  <si>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</si>
  <si>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</si>
  <si>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</si>
  <si>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</si>
  <si>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</si>
  <si>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</si>
  <si>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</si>
  <si>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</si>
  <si>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</si>
  <si>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</si>
  <si>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</si>
  <si>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</si>
  <si>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</si>
  <si>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</si>
  <si>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</si>
  <si>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</si>
  <si>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</si>
  <si>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</si>
  <si>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</si>
  <si>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</si>
  <si>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</si>
  <si>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</si>
  <si>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</si>
  <si>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</si>
  <si>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</si>
  <si>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</si>
  <si>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</si>
  <si>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</si>
  <si>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</si>
  <si>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</si>
  <si>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</si>
  <si>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</si>
  <si>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</si>
  <si>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</si>
  <si>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</si>
  <si>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</si>
  <si>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</si>
  <si>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</si>
  <si>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</si>
  <si>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</si>
  <si>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</si>
  <si>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</si>
  <si>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</si>
  <si>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</si>
  <si>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</si>
  <si>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</si>
  <si>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</si>
  <si>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</si>
  <si>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</si>
  <si>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</si>
  <si>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</si>
  <si>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</si>
  <si>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</si>
  <si>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</si>
  <si>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</si>
  <si>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</si>
  <si>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</si>
  <si>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</si>
  <si>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</si>
  <si>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</si>
  <si>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</si>
  <si>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</si>
  <si>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</si>
  <si>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</si>
  <si>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</si>
  <si>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</si>
  <si>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</si>
  <si>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</si>
  <si>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</si>
  <si>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</si>
  <si>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</si>
  <si>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</si>
  <si>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</si>
  <si>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</si>
  <si>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</si>
  <si>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</si>
  <si>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</si>
  <si>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</si>
  <si>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</si>
  <si>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</si>
  <si>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</si>
  <si>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</si>
  <si>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</si>
  <si>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</si>
  <si>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</si>
  <si>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</si>
  <si>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</si>
  <si>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</si>
  <si>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</si>
  <si>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</si>
  <si>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</si>
  <si>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</si>
  <si>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</si>
  <si>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</si>
  <si>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</si>
  <si>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</si>
  <si>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</si>
  <si>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</si>
  <si>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</si>
  <si>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</si>
  <si>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</si>
  <si>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</si>
  <si>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LUGO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</si>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</sst>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LjLspEBWRO5N3uuOtTugwgdzqetU5a2fBPyt38SnDOTOsCGxZzk2jfzGcsDg/J7a2/jvAF7HbT4+44kTCyrOA==" saltValue="7/A5BieG39QZB5HlK5HB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21.64516129032258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83</v>
      </c>
      <c r="D10" s="239">
        <f>IF(ISNUMBER(Datos!I10),Datos!I10," - ")</f>
        <v>83</v>
      </c>
      <c r="E10" s="240">
        <f>IF(ISNUMBER(Datos!J10),Datos!J10," - ")</f>
        <v>17</v>
      </c>
      <c r="F10" s="240">
        <f>IF(ISNUMBER(Datos!K10),Datos!K10," - ")</f>
        <v>12</v>
      </c>
      <c r="G10" s="1390" t="str">
        <f>IF(Datos!E10&lt;&gt;"",Datos!E10,Datos!D10)</f>
        <v>37</v>
      </c>
      <c r="H10" s="241">
        <f>IF(ISNUMBER(Datos!L10),Datos!L10," - ")</f>
        <v>88</v>
      </c>
      <c r="I10" s="1400" t="str">
        <f>IF(ISNUMBER(Datos!AS10/Datos!BM10),Datos!AS10/Datos!BM10," - ")</f>
        <v xml:space="preserve"> - </v>
      </c>
      <c r="J10" s="1401">
        <f>IF(ISNUMBER(Datos!BY10/Datos!CN10),Datos!BY10/Datos!CN10," - ")</f>
        <v>0</v>
      </c>
      <c r="K10" s="244">
        <f t="shared" ref="K10:K13" si="1">IF(ISNUMBER((E10-F10)/C10),(E10-F10)/C10," - ")</f>
        <v>6.0240963855421686E-2</v>
      </c>
      <c r="L10" s="1402">
        <f>IF(ISNUMBER(NºAsuntos!I10/NºAsuntos!G10),(NºAsuntos!I10/NºAsuntos!G10)*11," - ")</f>
        <v>80.666666666666657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2.5384615384615388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83</v>
      </c>
      <c r="D14" s="1407">
        <f>SUBTOTAL(9,D9:D13)</f>
        <v>83</v>
      </c>
      <c r="E14" s="1408">
        <f>SUBTOTAL(9,E9:E13)</f>
        <v>17</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1498</v>
      </c>
      <c r="D16" s="239">
        <f>IF(ISNUMBER(IF(D_I="SI",Datos!I16,Datos!I16+Datos!AC16)),IF(D_I="SI",Datos!I16,Datos!I16+Datos!AC16)," - ")</f>
        <v>1697</v>
      </c>
      <c r="E16" s="240">
        <f>IF(ISNUMBER(IF(D_I="SI",Datos!J16,Datos!J16+Datos!AD16)),IF(D_I="SI",Datos!J16,Datos!J16+Datos!AD16)," - ")</f>
        <v>1317</v>
      </c>
      <c r="F16" s="240">
        <f>IF(ISNUMBER(IF(D_I="SI",Datos!K16,Datos!K16+Datos!AE16)),IF(D_I="SI",Datos!K16,Datos!K16+Datos!AE16)," - ")</f>
        <v>1322</v>
      </c>
      <c r="G16" s="1390" t="str">
        <f>IF(Datos!E16&lt;&gt;"",Datos!E16,Datos!D16)</f>
        <v>03</v>
      </c>
      <c r="H16" s="241">
        <f>IF(ISNUMBER(IF(D_I="SI",Datos!L16,Datos!L16+Datos!AF16)),IF(D_I="SI",Datos!L16,Datos!L16+Datos!AF16)," - ")</f>
        <v>1493</v>
      </c>
      <c r="I16" s="1400" t="str">
        <f>IF(ISNUMBER(Datos!AS16/Datos!BM16),Datos!AS16/Datos!BM16," - ")</f>
        <v xml:space="preserve"> - </v>
      </c>
      <c r="J16" s="1401">
        <f>IF(ISNUMBER(Datos!BY16/Datos!CN16),Datos!BY16/Datos!CN16," - ")</f>
        <v>0</v>
      </c>
      <c r="K16" s="244">
        <f t="shared" ref="K16:K22" si="3">IF(ISNUMBER((E16-F16)/C16),(E16-F16)/C16," - ")</f>
        <v>-3.3377837116154874E-3</v>
      </c>
      <c r="L16" s="1402">
        <f>IF(ISNUMBER(NºAsuntos!I16/NºAsuntos!G16),(NºAsuntos!I16/NºAsuntos!G16)*11," - ")</f>
        <v>12.422844175491679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182</v>
      </c>
      <c r="D18" s="239">
        <f>IF(ISNUMBER(IF(D_I="SI",Datos!I18,Datos!I18+Datos!AC18)),IF(D_I="SI",Datos!I18,Datos!I18+Datos!AC18)," - ")</f>
        <v>182</v>
      </c>
      <c r="E18" s="240">
        <f>IF(ISNUMBER(IF(D_I="SI",Datos!J18,Datos!J18+Datos!AD18)),IF(D_I="SI",Datos!J18,Datos!J18+Datos!AD18)," - ")</f>
        <v>111</v>
      </c>
      <c r="F18" s="240">
        <f>IF(ISNUMBER(IF(D_I="SI",Datos!K18,Datos!K18+Datos!AE18)),IF(D_I="SI",Datos!K18,Datos!K18+Datos!AE18)," - ")</f>
        <v>100</v>
      </c>
      <c r="G18" s="1390" t="str">
        <f>IF(Datos!E18&lt;&gt;"",Datos!E18,Datos!D18)</f>
        <v>37</v>
      </c>
      <c r="H18" s="241">
        <f>IF(ISNUMBER(IF(D_I="SI",Datos!L18,Datos!L18+Datos!AF18)),IF(D_I="SI",Datos!L18,Datos!L18+Datos!AF18)," - ")</f>
        <v>193</v>
      </c>
      <c r="I18" s="1400" t="str">
        <f>IF(ISNUMBER(Datos!AS18/Datos!BM18),Datos!AS18/Datos!BM18," - ")</f>
        <v xml:space="preserve"> - </v>
      </c>
      <c r="J18" s="1401" t="str">
        <f>IF(ISNUMBER((Datos!BY18+Datos!BZ18)/Datos!CN18),(Datos!BY18+Datos!BZ18)/Datos!CN18," - ")</f>
        <v xml:space="preserve"> - </v>
      </c>
      <c r="K18" s="244">
        <f t="shared" si="3"/>
        <v>6.043956043956044E-2</v>
      </c>
      <c r="L18" s="1402">
        <f>IF(ISNUMBER(NºAsuntos!I18/NºAsuntos!G18),(NºAsuntos!I18/NºAsuntos!G18)*11," - ")</f>
        <v>21.23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1680</v>
      </c>
      <c r="D23" s="1407">
        <f>SUBTOTAL(9,D16:D22)</f>
        <v>1879</v>
      </c>
      <c r="E23" s="1408">
        <f>SUBTOTAL(9,E16:E22)</f>
        <v>1428</v>
      </c>
      <c r="F23" s="1408">
        <f>SUBTOTAL(9,F16:F22)</f>
        <v>1422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1763</v>
      </c>
      <c r="D31" s="1435">
        <f>SUBTOTAL(9,D9:D30)</f>
        <v>1962</v>
      </c>
      <c r="E31" s="1436">
        <f>SUBTOTAL(9,E9:E30)</f>
        <v>1445</v>
      </c>
      <c r="F31" s="1436">
        <f>SUBTOTAL(9,F9:F30)</f>
        <v>1434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n+fsHPtnE5L4MdKBeOhq/pUqzwUODzsuqva4qMiqfFht0L+zZ2LW2G0OpdO29KpHXYo2KQB7pX2BmXA2mEg9Vw==" saltValue="EH9FzEaJKuLrPetctja6L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y4Lb/w5tq2Rj3tqR/Zd5ovxs4/mta/6+TB6j83uWGsqvPf6+8tcMR1Xwb/DPlZoJrKzMgQiEWy0rjt5BbMQw==" saltValue="8LVjPhKxWdE8K7/dXR3e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3578</v>
      </c>
      <c r="J9" s="194">
        <v>1695</v>
      </c>
      <c r="K9" s="194">
        <v>1649</v>
      </c>
      <c r="L9" s="194">
        <v>3583</v>
      </c>
      <c r="M9" s="194">
        <v>654</v>
      </c>
      <c r="N9" s="194">
        <v>654</v>
      </c>
      <c r="O9" s="194">
        <v>801</v>
      </c>
      <c r="P9" s="194">
        <v>380</v>
      </c>
      <c r="Q9" s="194">
        <v>445</v>
      </c>
      <c r="R9" s="194">
        <v>4471</v>
      </c>
      <c r="S9" s="194">
        <v>3851</v>
      </c>
      <c r="T9" s="194">
        <v>1954</v>
      </c>
      <c r="U9" s="194">
        <v>2122</v>
      </c>
      <c r="V9" s="194">
        <v>3695</v>
      </c>
      <c r="W9" s="194">
        <v>822</v>
      </c>
      <c r="X9" s="201">
        <v>821</v>
      </c>
      <c r="Y9" s="204">
        <v>159</v>
      </c>
      <c r="Z9" s="194">
        <v>313</v>
      </c>
      <c r="AA9" s="194">
        <v>273</v>
      </c>
      <c r="AB9" s="194">
        <v>199</v>
      </c>
      <c r="AC9" s="194">
        <v>0</v>
      </c>
      <c r="AD9" s="194">
        <v>0</v>
      </c>
      <c r="AE9" s="194">
        <v>0</v>
      </c>
      <c r="AF9" s="201">
        <v>0</v>
      </c>
      <c r="AG9" s="204">
        <v>239</v>
      </c>
      <c r="AH9" s="194">
        <v>265</v>
      </c>
      <c r="AI9" s="194">
        <v>300</v>
      </c>
      <c r="AJ9" s="205">
        <v>211</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4090</v>
      </c>
      <c r="AZ9" s="133">
        <f>IF(ISNUMBER(IF(J_V="SI",T9,T9+AH9)),IF(J_V="SI",T9,T9+AH9)," - ")</f>
        <v>2219</v>
      </c>
      <c r="BA9" s="134">
        <f>IF(ISNUMBER(IF(J_V="SI",U9,U9+AI9)),IF(J_V="SI",U9,U9+AI9)," - ")</f>
        <v>2422</v>
      </c>
      <c r="BB9" s="134">
        <f>IF(ISNUMBER(IF(J_V="SI",V9,V9+AJ9)),IF(J_V="SI",V9,V9+AJ9)," - ")</f>
        <v>3906</v>
      </c>
      <c r="BC9" s="135">
        <f>IF(ISNUMBER(X9),X9," - ")</f>
        <v>821</v>
      </c>
      <c r="BD9" s="136">
        <f>IF(ISNUMBER(BA9/AZ9),BA9/AZ9," - ")</f>
        <v>1.0914826498422714</v>
      </c>
      <c r="BE9" s="137">
        <f>IF(ISNUMBER(BB9/BA9),BB9/BA9, " - ")</f>
        <v>1.6127167630057804</v>
      </c>
      <c r="BF9" s="137">
        <f>IF(ISNUMBER(BC9/BA9),BC9/BA9, " - ")</f>
        <v>0.33897605284888521</v>
      </c>
      <c r="BG9" s="209">
        <f>IF(ISNUMBER((AY9+AZ9)/BA9),(AY9+AZ9)/BA9," - ")</f>
        <v>2.6048720066061106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83</v>
      </c>
      <c r="J10" s="194">
        <v>17</v>
      </c>
      <c r="K10" s="194">
        <v>12</v>
      </c>
      <c r="L10" s="194">
        <v>88</v>
      </c>
      <c r="M10" s="194">
        <v>3</v>
      </c>
      <c r="N10" s="194">
        <v>4</v>
      </c>
      <c r="O10" s="194">
        <v>4</v>
      </c>
      <c r="P10" s="194">
        <v>5</v>
      </c>
      <c r="Q10" s="194">
        <v>0</v>
      </c>
      <c r="R10" s="194">
        <v>73</v>
      </c>
      <c r="S10" s="194">
        <v>83</v>
      </c>
      <c r="T10" s="194">
        <v>19</v>
      </c>
      <c r="U10" s="194">
        <v>25</v>
      </c>
      <c r="V10" s="194">
        <v>77</v>
      </c>
      <c r="W10" s="194">
        <v>8</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83</v>
      </c>
      <c r="AZ10" s="139">
        <f t="shared" si="0"/>
        <v>19</v>
      </c>
      <c r="BA10" s="139">
        <f t="shared" si="0"/>
        <v>25</v>
      </c>
      <c r="BB10" s="139">
        <f t="shared" si="0"/>
        <v>77</v>
      </c>
      <c r="BC10" s="135">
        <f t="shared" si="0"/>
        <v>8</v>
      </c>
      <c r="BD10" s="136">
        <f>IF(ISNUMBER(BA10/AZ10),BA10/AZ10," - ")</f>
        <v>1.3157894736842106</v>
      </c>
      <c r="BE10" s="137">
        <f>IF(ISNUMBER(BB10/BA10),BB10/BA10, " - ")</f>
        <v>3.08</v>
      </c>
      <c r="BF10" s="137">
        <f>IF(ISNUMBER(BC10/BA10),BC10/BA10, " - ")</f>
        <v>0.32</v>
      </c>
      <c r="BG10" s="209">
        <f>IF(ISNUMBER((AY10+AZ10)/BA10),(AY10+AZ10)/BA10," - ")</f>
        <v>4.08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v>
      </c>
      <c r="J12" s="196">
        <v>0</v>
      </c>
      <c r="K12" s="196">
        <v>7</v>
      </c>
      <c r="L12" s="196">
        <v>3</v>
      </c>
      <c r="M12" s="196">
        <v>0</v>
      </c>
      <c r="N12" s="196">
        <v>10</v>
      </c>
      <c r="O12" s="194">
        <v>2</v>
      </c>
      <c r="P12" s="196">
        <v>0</v>
      </c>
      <c r="Q12" s="196">
        <v>202</v>
      </c>
      <c r="R12" s="196">
        <v>250</v>
      </c>
      <c r="S12" s="196">
        <v>2</v>
      </c>
      <c r="T12" s="196">
        <v>35</v>
      </c>
      <c r="U12" s="196">
        <v>0</v>
      </c>
      <c r="V12" s="196">
        <v>37</v>
      </c>
      <c r="W12" s="196">
        <v>0</v>
      </c>
      <c r="X12" s="202">
        <v>0</v>
      </c>
      <c r="Y12" s="204">
        <v>6</v>
      </c>
      <c r="Z12" s="194">
        <v>0</v>
      </c>
      <c r="AA12" s="194">
        <v>6</v>
      </c>
      <c r="AB12" s="194">
        <v>0</v>
      </c>
      <c r="AC12" s="196">
        <v>0</v>
      </c>
      <c r="AD12" s="196">
        <v>0</v>
      </c>
      <c r="AE12" s="196">
        <v>0</v>
      </c>
      <c r="AF12" s="202">
        <v>0</v>
      </c>
      <c r="AG12" s="215">
        <v>0</v>
      </c>
      <c r="AH12" s="196">
        <v>4</v>
      </c>
      <c r="AI12" s="196">
        <v>1</v>
      </c>
      <c r="AJ12" s="216">
        <v>3</v>
      </c>
      <c r="AK12" s="195">
        <v>0</v>
      </c>
      <c r="AL12" s="196">
        <v>0</v>
      </c>
      <c r="AM12" s="196">
        <v>0</v>
      </c>
      <c r="AN12" s="202">
        <v>0</v>
      </c>
      <c r="AO12" s="283">
        <v>0</v>
      </c>
      <c r="AP12" s="168">
        <v>0</v>
      </c>
      <c r="AQ12" s="168">
        <v>0</v>
      </c>
      <c r="AR12" s="167">
        <v>0</v>
      </c>
      <c r="AS12" s="381" t="s">
        <v>1067</v>
      </c>
      <c r="AT12" s="216"/>
      <c r="AU12" s="215"/>
      <c r="AV12" s="216"/>
      <c r="AW12" s="215"/>
      <c r="AX12" s="216"/>
      <c r="AY12" s="136">
        <f t="shared" si="1"/>
        <v>2</v>
      </c>
      <c r="AZ12" s="137">
        <f t="shared" si="1"/>
        <v>39</v>
      </c>
      <c r="BA12" s="137">
        <f t="shared" si="1"/>
        <v>1</v>
      </c>
      <c r="BB12" s="137">
        <f t="shared" si="1"/>
        <v>40</v>
      </c>
      <c r="BC12" s="135">
        <f>IF(ISNUMBER(X12),X12," - ")</f>
        <v>0</v>
      </c>
      <c r="BD12" s="136">
        <f t="shared" si="2"/>
        <v>2.564102564102564E-2</v>
      </c>
      <c r="BE12" s="137">
        <f t="shared" si="3"/>
        <v>40</v>
      </c>
      <c r="BF12" s="137">
        <f t="shared" si="4"/>
        <v>0</v>
      </c>
      <c r="BG12" s="209">
        <f t="shared" si="5"/>
        <v>41</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3671</v>
      </c>
      <c r="J14" s="197">
        <f t="shared" si="7"/>
        <v>1712</v>
      </c>
      <c r="K14" s="197">
        <f t="shared" si="7"/>
        <v>1668</v>
      </c>
      <c r="L14" s="197">
        <f t="shared" si="7"/>
        <v>3674</v>
      </c>
      <c r="M14" s="197">
        <f t="shared" si="7"/>
        <v>657</v>
      </c>
      <c r="N14" s="197">
        <f t="shared" si="7"/>
        <v>668</v>
      </c>
      <c r="O14" s="197">
        <f t="shared" si="7"/>
        <v>807</v>
      </c>
      <c r="P14" s="197">
        <f t="shared" si="7"/>
        <v>385</v>
      </c>
      <c r="Q14" s="197">
        <f t="shared" si="7"/>
        <v>647</v>
      </c>
      <c r="R14" s="197">
        <f t="shared" si="7"/>
        <v>4794</v>
      </c>
      <c r="S14" s="197">
        <f t="shared" si="7"/>
        <v>3936</v>
      </c>
      <c r="T14" s="197">
        <f t="shared" si="7"/>
        <v>2008</v>
      </c>
      <c r="U14" s="197">
        <f t="shared" si="7"/>
        <v>2147</v>
      </c>
      <c r="V14" s="197">
        <f t="shared" si="7"/>
        <v>3809</v>
      </c>
      <c r="W14" s="197">
        <f t="shared" si="7"/>
        <v>830</v>
      </c>
      <c r="X14" s="197">
        <f t="shared" si="7"/>
        <v>828</v>
      </c>
      <c r="Y14" s="197">
        <f t="shared" si="7"/>
        <v>165</v>
      </c>
      <c r="Z14" s="197">
        <f t="shared" si="7"/>
        <v>313</v>
      </c>
      <c r="AA14" s="197">
        <f t="shared" si="7"/>
        <v>279</v>
      </c>
      <c r="AB14" s="197">
        <f t="shared" si="7"/>
        <v>199</v>
      </c>
      <c r="AC14" s="197">
        <f t="shared" si="7"/>
        <v>0</v>
      </c>
      <c r="AD14" s="197">
        <f t="shared" si="7"/>
        <v>0</v>
      </c>
      <c r="AE14" s="197">
        <f t="shared" si="7"/>
        <v>0</v>
      </c>
      <c r="AF14" s="197">
        <f>SUBTOTAL(9,AF9:AF13)</f>
        <v>0</v>
      </c>
      <c r="AG14" s="197">
        <f t="shared" ref="AG14:AT14" si="8">SUBTOTAL(9,AG8:AG13)</f>
        <v>239</v>
      </c>
      <c r="AH14" s="197">
        <f t="shared" si="8"/>
        <v>269</v>
      </c>
      <c r="AI14" s="197">
        <f t="shared" si="8"/>
        <v>301</v>
      </c>
      <c r="AJ14" s="197">
        <f t="shared" si="8"/>
        <v>214</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4175</v>
      </c>
      <c r="AZ14" s="197">
        <f>SUBTOTAL(9,AZ8:AZ13)</f>
        <v>2277</v>
      </c>
      <c r="BA14" s="197">
        <f>SUBTOTAL(9,BA8:BA13)</f>
        <v>2448</v>
      </c>
      <c r="BB14" s="197">
        <f>SUBTOTAL(9,BB8:BB13)</f>
        <v>4023</v>
      </c>
      <c r="BC14" s="197">
        <f>SUBTOTAL(9,BC8:BC13)</f>
        <v>829</v>
      </c>
      <c r="BD14" s="219">
        <f>IF(ISNUMBER(BA14/AZ14),BA14/AZ14," - ")</f>
        <v>1.075098814229249</v>
      </c>
      <c r="BE14" s="220">
        <f>IF(ISNUMBER(BB14/BA14),BB14/BA14, " - ")</f>
        <v>1.6433823529411764</v>
      </c>
      <c r="BF14" s="220">
        <f>IF(ISNUMBER(BC14/BA14),BC14/BA14, " - ")</f>
        <v>0.33864379084967322</v>
      </c>
      <c r="BG14" s="221">
        <f>IF(ISNUMBER((AY14+AZ14)/BA14),(AY14+AZ14)/BA14," - ")</f>
        <v>2.6356209150326797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1697</v>
      </c>
      <c r="J16" s="196">
        <v>1317</v>
      </c>
      <c r="K16" s="196">
        <v>1322</v>
      </c>
      <c r="L16" s="196">
        <v>1493</v>
      </c>
      <c r="M16" s="196">
        <v>236</v>
      </c>
      <c r="N16" s="196">
        <v>700</v>
      </c>
      <c r="O16" s="194">
        <v>12</v>
      </c>
      <c r="P16" s="196">
        <v>39</v>
      </c>
      <c r="Q16" s="196">
        <v>47</v>
      </c>
      <c r="R16" s="196">
        <v>251</v>
      </c>
      <c r="S16" s="196">
        <v>2086</v>
      </c>
      <c r="T16" s="196">
        <v>1231</v>
      </c>
      <c r="U16" s="196">
        <v>1539</v>
      </c>
      <c r="V16" s="196">
        <v>1778</v>
      </c>
      <c r="W16" s="196">
        <v>195</v>
      </c>
      <c r="X16" s="202">
        <v>808</v>
      </c>
      <c r="Y16" s="215">
        <v>0</v>
      </c>
      <c r="Z16" s="196">
        <v>0</v>
      </c>
      <c r="AA16" s="196">
        <v>0</v>
      </c>
      <c r="AB16" s="196">
        <v>0</v>
      </c>
      <c r="AC16" s="196">
        <v>0</v>
      </c>
      <c r="AD16" s="196">
        <v>4</v>
      </c>
      <c r="AE16" s="196">
        <v>4</v>
      </c>
      <c r="AF16" s="202">
        <v>0</v>
      </c>
      <c r="AG16" s="215">
        <v>0</v>
      </c>
      <c r="AH16" s="196">
        <v>0</v>
      </c>
      <c r="AI16" s="196">
        <v>0</v>
      </c>
      <c r="AJ16" s="216">
        <v>0</v>
      </c>
      <c r="AK16" s="195">
        <v>1</v>
      </c>
      <c r="AL16" s="196">
        <v>3</v>
      </c>
      <c r="AM16" s="196">
        <v>3</v>
      </c>
      <c r="AN16" s="202">
        <v>1</v>
      </c>
      <c r="AO16" s="283">
        <v>3</v>
      </c>
      <c r="AP16" s="168">
        <v>3</v>
      </c>
      <c r="AQ16" s="168">
        <v>3</v>
      </c>
      <c r="AR16" s="168">
        <v>3</v>
      </c>
      <c r="AS16" s="381" t="s">
        <v>694</v>
      </c>
      <c r="AT16" s="216" t="s">
        <v>424</v>
      </c>
      <c r="AU16" s="215"/>
      <c r="AV16" s="216"/>
      <c r="AW16" s="215"/>
      <c r="AX16" s="216"/>
      <c r="AY16" s="138">
        <f t="shared" ref="AY16:BB17" si="10">IF(ISNUMBER(IF(D_I="SI",S16,S16+AK16)),IF(D_I="SI",S16,S16+AK16)," - ")</f>
        <v>2086</v>
      </c>
      <c r="AZ16" s="139">
        <f t="shared" si="10"/>
        <v>1231</v>
      </c>
      <c r="BA16" s="139">
        <f t="shared" si="10"/>
        <v>1539</v>
      </c>
      <c r="BB16" s="139">
        <f t="shared" si="10"/>
        <v>1778</v>
      </c>
      <c r="BC16" s="135">
        <f>IF(ISNUMBER(W16),W16," - ")</f>
        <v>195</v>
      </c>
      <c r="BD16" s="136">
        <f>IF(ISNUMBER(BA16/AZ16),BA16/AZ16," - ")</f>
        <v>1.2502030869212022</v>
      </c>
      <c r="BE16" s="137">
        <f>IF(ISNUMBER(BB16/BA16),BB16/BA16, " - ")</f>
        <v>1.1552956465237167</v>
      </c>
      <c r="BF16" s="137">
        <f>IF(ISNUMBER(BC16/BA16),BC16/BA16, " - ")</f>
        <v>0.12670565302144249</v>
      </c>
      <c r="BG16" s="209">
        <f t="shared" ref="BG16:BG22" si="11">IF(ISNUMBER((AY16+AZ16)/BA16),(AY16+AZ16)/BA16," - ")</f>
        <v>2.1552956465237165</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182</v>
      </c>
      <c r="J18" s="196">
        <v>111</v>
      </c>
      <c r="K18" s="196">
        <v>100</v>
      </c>
      <c r="L18" s="196">
        <v>193</v>
      </c>
      <c r="M18" s="196">
        <v>4</v>
      </c>
      <c r="N18" s="196">
        <v>70</v>
      </c>
      <c r="O18" s="196">
        <v>0</v>
      </c>
      <c r="P18" s="196">
        <v>0</v>
      </c>
      <c r="Q18" s="196">
        <v>1</v>
      </c>
      <c r="R18" s="196">
        <v>0</v>
      </c>
      <c r="S18" s="196">
        <v>171</v>
      </c>
      <c r="T18" s="196">
        <v>125</v>
      </c>
      <c r="U18" s="196">
        <v>126</v>
      </c>
      <c r="V18" s="196">
        <v>170</v>
      </c>
      <c r="W18" s="196">
        <v>0</v>
      </c>
      <c r="X18" s="202">
        <v>78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171</v>
      </c>
      <c r="AZ18" s="139">
        <f t="shared" si="15"/>
        <v>125</v>
      </c>
      <c r="BA18" s="139">
        <f t="shared" si="15"/>
        <v>126</v>
      </c>
      <c r="BB18" s="139">
        <f t="shared" si="15"/>
        <v>170</v>
      </c>
      <c r="BC18" s="135">
        <f>IF(ISNUMBER(W18),W18," - ")</f>
        <v>0</v>
      </c>
      <c r="BD18" s="136">
        <f>IF(ISNUMBER(BA18/AZ18),BA18/AZ18," - ")</f>
        <v>1.008</v>
      </c>
      <c r="BE18" s="137">
        <f>IF(ISNUMBER(BB18/BA18),BB18/BA18, " - ")</f>
        <v>1.3492063492063493</v>
      </c>
      <c r="BF18" s="137">
        <f>IF(ISNUMBER(BC18/BA18),BC18/BA18, " - ")</f>
        <v>0</v>
      </c>
      <c r="BG18" s="209">
        <f>IF(ISNUMBER((AY18+AZ18)/BA18),(AY18+AZ18)/BA18," - ")</f>
        <v>2.3492063492063493</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1879</v>
      </c>
      <c r="J23" s="197">
        <f t="shared" si="21"/>
        <v>1428</v>
      </c>
      <c r="K23" s="197">
        <f t="shared" si="21"/>
        <v>1422</v>
      </c>
      <c r="L23" s="197">
        <f t="shared" si="21"/>
        <v>1686</v>
      </c>
      <c r="M23" s="197">
        <f t="shared" si="21"/>
        <v>240</v>
      </c>
      <c r="N23" s="197">
        <f t="shared" si="21"/>
        <v>770</v>
      </c>
      <c r="O23" s="197">
        <f t="shared" si="21"/>
        <v>12</v>
      </c>
      <c r="P23" s="197">
        <f t="shared" si="21"/>
        <v>39</v>
      </c>
      <c r="Q23" s="197">
        <f t="shared" si="21"/>
        <v>48</v>
      </c>
      <c r="R23" s="197">
        <f t="shared" si="21"/>
        <v>251</v>
      </c>
      <c r="S23" s="197">
        <f t="shared" si="21"/>
        <v>2258</v>
      </c>
      <c r="T23" s="197">
        <f t="shared" si="21"/>
        <v>1356</v>
      </c>
      <c r="U23" s="197">
        <f t="shared" si="21"/>
        <v>1665</v>
      </c>
      <c r="V23" s="197">
        <f t="shared" si="21"/>
        <v>1949</v>
      </c>
      <c r="W23" s="197">
        <f t="shared" si="21"/>
        <v>195</v>
      </c>
      <c r="X23" s="197">
        <f t="shared" si="21"/>
        <v>886</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1</v>
      </c>
      <c r="AL23" s="197">
        <f t="shared" si="21"/>
        <v>3</v>
      </c>
      <c r="AM23" s="197">
        <f t="shared" si="21"/>
        <v>3</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2258</v>
      </c>
      <c r="AZ23" s="197">
        <f>SUBTOTAL(9,AZ15:AZ22)</f>
        <v>1356</v>
      </c>
      <c r="BA23" s="197">
        <f>SUBTOTAL(9,BA15:BA22)</f>
        <v>1665</v>
      </c>
      <c r="BB23" s="197">
        <f>SUBTOTAL(9,BB15:BB22)</f>
        <v>1949</v>
      </c>
      <c r="BC23" s="197">
        <f>SUBTOTAL(9,BC15:BC22)</f>
        <v>195</v>
      </c>
      <c r="BD23" s="219">
        <f>IF(ISNUMBER(BA23/AZ23),BA23/AZ23," - ")</f>
        <v>1.2278761061946903</v>
      </c>
      <c r="BE23" s="220">
        <f>IF(ISNUMBER(BB23/BA23),BB23/BA23, " - ")</f>
        <v>1.1705705705705707</v>
      </c>
      <c r="BF23" s="220">
        <f>IF(ISNUMBER(BC23/BA23),BC23/BA23, " - ")</f>
        <v>0.11711711711711711</v>
      </c>
      <c r="BG23" s="221">
        <f>IF(ISNUMBER((AY23+AZ23)/BA23),(AY23+AZ23)/BA23," - ")</f>
        <v>2.1705705705705705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5550</v>
      </c>
      <c r="J31" s="144">
        <f t="shared" si="36"/>
        <v>3140</v>
      </c>
      <c r="K31" s="144">
        <f t="shared" si="36"/>
        <v>3090</v>
      </c>
      <c r="L31" s="144">
        <f t="shared" si="36"/>
        <v>5360</v>
      </c>
      <c r="M31" s="144">
        <f t="shared" si="36"/>
        <v>897</v>
      </c>
      <c r="N31" s="144">
        <f t="shared" si="36"/>
        <v>1438</v>
      </c>
      <c r="O31" s="144">
        <f t="shared" si="36"/>
        <v>819</v>
      </c>
      <c r="P31" s="144">
        <f t="shared" si="36"/>
        <v>424</v>
      </c>
      <c r="Q31" s="144">
        <f t="shared" si="36"/>
        <v>695</v>
      </c>
      <c r="R31" s="144">
        <f t="shared" si="36"/>
        <v>5045</v>
      </c>
      <c r="S31" s="144">
        <f t="shared" si="36"/>
        <v>6194</v>
      </c>
      <c r="T31" s="144">
        <f t="shared" si="36"/>
        <v>3364</v>
      </c>
      <c r="U31" s="144">
        <f t="shared" si="36"/>
        <v>3812</v>
      </c>
      <c r="V31" s="144">
        <f t="shared" si="36"/>
        <v>5758</v>
      </c>
      <c r="W31" s="144">
        <f t="shared" si="36"/>
        <v>1025</v>
      </c>
      <c r="X31" s="144">
        <f t="shared" si="36"/>
        <v>1714</v>
      </c>
      <c r="Y31" s="144">
        <f t="shared" si="36"/>
        <v>165</v>
      </c>
      <c r="Z31" s="144">
        <f t="shared" si="36"/>
        <v>313</v>
      </c>
      <c r="AA31" s="144">
        <f t="shared" si="36"/>
        <v>279</v>
      </c>
      <c r="AB31" s="144">
        <f t="shared" si="36"/>
        <v>199</v>
      </c>
      <c r="AC31" s="144">
        <f t="shared" si="36"/>
        <v>0</v>
      </c>
      <c r="AD31" s="144">
        <f t="shared" si="36"/>
        <v>4</v>
      </c>
      <c r="AE31" s="144">
        <f t="shared" si="36"/>
        <v>4</v>
      </c>
      <c r="AF31" s="144">
        <f t="shared" si="36"/>
        <v>0</v>
      </c>
      <c r="AG31" s="144">
        <f t="shared" si="36"/>
        <v>239</v>
      </c>
      <c r="AH31" s="144">
        <f t="shared" si="36"/>
        <v>269</v>
      </c>
      <c r="AI31" s="144">
        <f t="shared" si="36"/>
        <v>301</v>
      </c>
      <c r="AJ31" s="144">
        <f t="shared" si="36"/>
        <v>214</v>
      </c>
      <c r="AK31" s="144">
        <f t="shared" si="36"/>
        <v>1</v>
      </c>
      <c r="AL31" s="144">
        <f t="shared" si="36"/>
        <v>3</v>
      </c>
      <c r="AM31" s="144">
        <f t="shared" si="36"/>
        <v>3</v>
      </c>
      <c r="AN31" s="224">
        <f t="shared" si="36"/>
        <v>1</v>
      </c>
      <c r="AO31" s="225">
        <v>9</v>
      </c>
      <c r="AP31" s="225">
        <v>8</v>
      </c>
      <c r="AQ31" s="225">
        <v>8</v>
      </c>
      <c r="AR31" s="225">
        <v>8</v>
      </c>
      <c r="AS31" s="166">
        <f t="shared" si="36"/>
        <v>0</v>
      </c>
      <c r="AT31" s="166">
        <f t="shared" si="36"/>
        <v>0</v>
      </c>
      <c r="AU31" s="225"/>
      <c r="AV31" s="226"/>
      <c r="AW31" s="225"/>
      <c r="AX31" s="226"/>
      <c r="AY31" s="143">
        <f>SUBTOTAL(9,AY9:AY30)</f>
        <v>6433</v>
      </c>
      <c r="AZ31" s="144">
        <f>SUBTOTAL(9,AZ9:AZ30)</f>
        <v>3633</v>
      </c>
      <c r="BA31" s="144">
        <f>SUBTOTAL(9,BA9:BA30)</f>
        <v>4113</v>
      </c>
      <c r="BB31" s="144">
        <f>SUBTOTAL(9,BB9:BB30)</f>
        <v>5972</v>
      </c>
      <c r="BC31" s="145">
        <f>SUBTOTAL(9,BC9:BC30)</f>
        <v>1024</v>
      </c>
      <c r="BD31" s="227">
        <f>IF(ISNUMBER(BA31/AZ31),BA31/AZ31," - ")</f>
        <v>1.1321222130470685</v>
      </c>
      <c r="BE31" s="224">
        <f>IF(ISNUMBER(BB31/BA31),BB31/BA31, " - ")</f>
        <v>1.4519815220034038</v>
      </c>
      <c r="BF31" s="224">
        <f>IF(ISNUMBER(BC31/BA31),BC31/BA31, " - ")</f>
        <v>0.24896669097982008</v>
      </c>
      <c r="BG31" s="145">
        <f>IF(ISNUMBER((AY31+AZ31)/BA31),(AY31+AZ31)/BA31," - ")</f>
        <v>2.4473620228543642</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DSiFvt4j/WwcPCur8/v4f2+nVZhlRd7Md4O/0deUaSFNUXkjv7UAkeyL7PuSQFw6fBGcjZAzi2VVWyfnB/phQ==" saltValue="ohy4qOG8+wGV8hjnjGLI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2IIGaz9hxtS8jCzmm/3s33gE0lZMBEGfSub8+t0wc5opbK5wXNIa0UR5Wa3vAM8cBH7w8vc0fM1L8QDJVv5vw==" saltValue="iBM099YxNylKw4S5WL7p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LUGO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313</v>
      </c>
      <c r="O9" s="549"/>
      <c r="P9" s="549"/>
      <c r="Q9" s="547">
        <f>IF(ISNUMBER(Datos!P9),Datos!P9,0)</f>
        <v>380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445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199</v>
      </c>
      <c r="AI9" s="549" t="str">
        <f>IF(ISNUMBER(Datos!CD9),Datos!CD9,"-")</f>
        <v>-</v>
      </c>
      <c r="AJ9" s="549" t="str">
        <f>IF(ISNUMBER(Datos!EN9),Datos!EN9," - ")</f>
        <v xml:space="preserve"> - </v>
      </c>
      <c r="AK9" s="549"/>
      <c r="AL9" s="550"/>
      <c r="AM9" s="766">
        <f>IF(ISNUMBER(Datos!R9),Datos!R9," - ")</f>
        <v>4471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654</v>
      </c>
      <c r="BD9" s="693">
        <f>IF(ISNUMBER(Datos!N9),Datos!N9," - ")</f>
        <v>654</v>
      </c>
      <c r="BE9" s="693" t="str">
        <f>IF(ISNUMBER(Datos!BW9),Datos!BW9," - ")</f>
        <v xml:space="preserve"> - </v>
      </c>
      <c r="BF9" s="762" t="str">
        <f>IF(ISNUMBER(Datos!BX9),Datos!BX9," - ")</f>
        <v xml:space="preserve"> - </v>
      </c>
      <c r="BG9" s="763">
        <f>IF(ISNUMBER(IF(J_V="SI",Datos!K9/Datos!J9,(Datos!K9+Datos!AA9)/(Datos!J9+Datos!Z9))),IF(J_V="SI",Datos!K9/Datos!J9,(Datos!K9+Datos!AA9)/(Datos!J9+Datos!Z9))," - ")</f>
        <v>0.95717131474103589</v>
      </c>
      <c r="BH9" s="764">
        <f>IF(ISNUMBER(((IF(J_V="SI",Datos!L9/Datos!K9,(Datos!L9+Datos!AB9)/(Datos!K9+Datos!AA9)))*11)/factor_trimestre),((IF(J_V="SI",Datos!L9/Datos!K9,(Datos!L9+Datos!AB9)/(Datos!K9+Datos!AA9)))*11)/factor_trimestre," - ")</f>
        <v>5.903225806451613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-1.4329805996472662E-2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83</v>
      </c>
      <c r="G10" s="543">
        <f>IF(ISNUMBER(Datos!I10),Datos!I10," - ")</f>
        <v>83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88</v>
      </c>
      <c r="AG10" s="549"/>
      <c r="AH10" s="549"/>
      <c r="AI10" s="549"/>
      <c r="AJ10" s="549"/>
      <c r="AK10" s="549"/>
      <c r="AL10" s="550"/>
      <c r="AM10" s="766">
        <f>IF(ISNUMBER(Datos!R10),Datos!R10," - ")</f>
        <v>73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4</v>
      </c>
      <c r="BE10" s="693" t="str">
        <f>IF(ISNUMBER(Datos!BW10),Datos!BW10," - ")</f>
        <v xml:space="preserve"> - </v>
      </c>
      <c r="BF10" s="762" t="str">
        <f>IF(ISNUMBER(Datos!BX10),Datos!BX10," - ")</f>
        <v xml:space="preserve"> - </v>
      </c>
      <c r="BG10" s="763">
        <f>IF(ISNUMBER(Datos!K10/Datos!J10),Datos!K10/Datos!J10," - ")</f>
        <v>0.70588235294117652</v>
      </c>
      <c r="BH10" s="764">
        <f>IF(ISNUMBER(((Datos!L10/Datos!K10)*11)/factor_trimestre),((Datos!L10/Datos!K10)*11)/factor_trimestre," - ")</f>
        <v>22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7.3529411764705885E-2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250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10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f>IF(ISNUMBER(((IF(J_V="SI",Datos!L12/Datos!K12,(Datos!L12+Datos!AB12)/(Datos!K12+Datos!AA12)))*11)/factor_trimestre),((IF(J_V="SI",Datos!L12/Datos!K12,(Datos!L12+Datos!AB12)/(Datos!K12+Datos!AA12)))*11)/factor_trimestre," - ")</f>
        <v>0.6923076923076924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-0.44690265486725661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83</v>
      </c>
      <c r="G14" s="1197">
        <f t="shared" si="1"/>
        <v>83</v>
      </c>
      <c r="H14" s="1198">
        <f t="shared" si="1"/>
        <v>0</v>
      </c>
      <c r="I14" s="1197">
        <f t="shared" si="1"/>
        <v>0</v>
      </c>
      <c r="J14" s="1164">
        <f t="shared" si="1"/>
        <v>0</v>
      </c>
      <c r="K14" s="1164">
        <f t="shared" si="1"/>
        <v>0</v>
      </c>
      <c r="L14" s="1198">
        <f t="shared" si="1"/>
        <v>0</v>
      </c>
      <c r="M14" s="1198">
        <f t="shared" si="1"/>
        <v>0</v>
      </c>
      <c r="N14" s="1198">
        <f t="shared" si="1"/>
        <v>313</v>
      </c>
      <c r="O14" s="1199">
        <f t="shared" si="1"/>
        <v>0</v>
      </c>
      <c r="P14" s="1199">
        <f t="shared" si="1"/>
        <v>0</v>
      </c>
      <c r="Q14" s="1198">
        <f t="shared" si="1"/>
        <v>385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647</v>
      </c>
      <c r="AD14" s="1198">
        <f t="shared" si="2"/>
        <v>0</v>
      </c>
      <c r="AE14" s="1198">
        <f t="shared" si="2"/>
        <v>0</v>
      </c>
      <c r="AF14" s="1198">
        <f t="shared" si="2"/>
        <v>88</v>
      </c>
      <c r="AG14" s="1198">
        <f t="shared" si="2"/>
        <v>0</v>
      </c>
      <c r="AH14" s="1198">
        <f t="shared" si="2"/>
        <v>199</v>
      </c>
      <c r="AI14" s="1198">
        <f t="shared" si="2"/>
        <v>0</v>
      </c>
      <c r="AJ14" s="1198">
        <f t="shared" si="2"/>
        <v>0</v>
      </c>
      <c r="AK14" s="1198">
        <f t="shared" si="2"/>
        <v>0</v>
      </c>
      <c r="AL14" s="1198">
        <f t="shared" si="2"/>
        <v>0</v>
      </c>
      <c r="AM14" s="1198">
        <f t="shared" si="2"/>
        <v>4794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657</v>
      </c>
      <c r="BD14" s="1198">
        <f t="shared" si="2"/>
        <v>668</v>
      </c>
      <c r="BE14" s="1198">
        <f t="shared" si="2"/>
        <v>0</v>
      </c>
      <c r="BF14" s="1198">
        <f t="shared" si="2"/>
        <v>0</v>
      </c>
      <c r="BG14" s="1198">
        <f>IF(ISNUMBER(Datos!K14/Datos!J14),Datos!K14/Datos!J14," - ")</f>
        <v>0.97429906542056077</v>
      </c>
      <c r="BH14" s="1202">
        <f>IF(ISNUMBER(((Datos!L14/Datos!K14)*11)/factor_trimestre),((Datos!L14/Datos!K14)*11)/factor_trimestre," - ")</f>
        <v>6.6079136690647493</v>
      </c>
      <c r="BI14" s="1198">
        <f>IF(ISNUMBER('Resol  Asuntos'!D14/NºAsuntos!G14),'Resol  Asuntos'!D14/NºAsuntos!G14," - ")</f>
        <v>0.33744221879815101</v>
      </c>
      <c r="BJ14" s="1198" t="str">
        <f>IF(ISNUMBER(Datos!CI14/Datos!CJ14),Datos!CI14/Datos!CJ14," - ")</f>
        <v xml:space="preserve"> - </v>
      </c>
      <c r="BK14" s="1198">
        <f>SUBTOTAL(9,BK8:BK13)</f>
        <v>0</v>
      </c>
      <c r="BL14" s="1198">
        <f>IF(ISNUMBER((I14-AB14+L14)/(F14)),(I14-AB14+L14)/(F14)," - ")</f>
        <v>-0.14457831325301204</v>
      </c>
      <c r="BM14" s="1203">
        <f>SUBTOTAL(9,BM9:BM13)</f>
        <v>-0.38770304909902337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1498</v>
      </c>
      <c r="G16" s="743">
        <f>IF(ISNUMBER(IF(D_I="SI",Datos!I16,Datos!I16+Datos!AC16)),IF(D_I="SI",Datos!I16,Datos!I16+Datos!AC16)," - ")</f>
        <v>1697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1322</v>
      </c>
      <c r="AC16" s="240">
        <f>IF(ISNUMBER(Datos!Q16),Datos!Q16," - ")</f>
        <v>47</v>
      </c>
      <c r="AD16" s="374"/>
      <c r="AE16" s="562"/>
      <c r="AF16" s="741">
        <f>IF(ISNUMBER(IF(D_I="SI",Datos!L16,Datos!L16+Datos!AF16)),IF(D_I="SI",Datos!L16,Datos!L16+Datos!AF16)," - ")</f>
        <v>1493</v>
      </c>
      <c r="AG16" s="374"/>
      <c r="AH16" s="374"/>
      <c r="AI16" s="374"/>
      <c r="AJ16" s="549"/>
      <c r="AK16" s="374"/>
      <c r="AL16" s="545"/>
      <c r="AM16" s="375">
        <f>IF(ISNUMBER(Datos!R16),Datos!R16," - ")</f>
        <v>251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236</v>
      </c>
      <c r="BD16" s="243">
        <f>IF(ISNUMBER(Datos!N16),Datos!N16," - ")</f>
        <v>700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1.0037965072133637</v>
      </c>
      <c r="BH16" s="764">
        <f>IF(ISNUMBER(((IF(D_I="SI",Datos!L16/Datos!K16,(Datos!L16+Datos!AF16)/(Datos!K16+Datos!AE16)))*11)/factor_trimestre),((IF(D_I="SI",Datos!L16/Datos!K16,(Datos!L16+Datos!AF16)/(Datos!K16+Datos!AE16)))*11)/factor_trimestre," - ")</f>
        <v>3.3880484114977309</v>
      </c>
      <c r="BI16" s="266">
        <f>IF(ISNUMBER('Resol  Asuntos'!D16/NºAsuntos!G16),'Resol  Asuntos'!D16/NºAsuntos!G16," - ")</f>
        <v>0.17851739788199697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100</v>
      </c>
      <c r="AC18" s="547">
        <f>IF(ISNUMBER(Datos!Q18),Datos!Q18," - ")</f>
        <v>1</v>
      </c>
      <c r="AD18" s="549"/>
      <c r="AE18" s="562"/>
      <c r="AF18" s="551">
        <f>IF(ISNUMBER(Datos!L18),Datos!L18,"-")</f>
        <v>193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70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0.90090090090090091</v>
      </c>
      <c r="BH18" s="764">
        <f>IF(ISNUMBER(((IF(D_I="SI",Datos!L18/Datos!K18,(Datos!L18+Datos!AF18)/(Datos!K18+Datos!AE18)))*11)/factor_trimestre),((IF(D_I="SI",Datos!L18/Datos!K18,(Datos!L18+Datos!AF18)/(Datos!K18+Datos!AE18)))*11)/factor_trimestre," - ")</f>
        <v>5.79</v>
      </c>
      <c r="BI18" s="763">
        <f>IF(ISNUMBER('Resol  Asuntos'!D18/NºAsuntos!G18),'Resol  Asuntos'!D18/NºAsuntos!G18," - ")</f>
        <v>0.04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1498</v>
      </c>
      <c r="G23" s="1197">
        <f>SUBTOTAL(9,G16:G22)</f>
        <v>1879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1422</v>
      </c>
      <c r="AC23" s="1198">
        <f t="shared" si="5"/>
        <v>48</v>
      </c>
      <c r="AD23" s="1198">
        <f t="shared" si="5"/>
        <v>0</v>
      </c>
      <c r="AE23" s="1198">
        <f t="shared" si="5"/>
        <v>0</v>
      </c>
      <c r="AF23" s="1198">
        <f t="shared" si="5"/>
        <v>1686</v>
      </c>
      <c r="AG23" s="1198">
        <f t="shared" si="5"/>
        <v>0</v>
      </c>
      <c r="AH23" s="1198">
        <f t="shared" si="5"/>
        <v>0</v>
      </c>
      <c r="AI23" s="1198">
        <f t="shared" si="5"/>
        <v>0</v>
      </c>
      <c r="AJ23" s="1198">
        <f t="shared" si="5"/>
        <v>0</v>
      </c>
      <c r="AK23" s="1198">
        <f t="shared" si="5"/>
        <v>0</v>
      </c>
      <c r="AL23" s="1198">
        <f t="shared" si="5"/>
        <v>0</v>
      </c>
      <c r="AM23" s="1198">
        <f t="shared" si="5"/>
        <v>251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240</v>
      </c>
      <c r="BD23" s="1198">
        <f t="shared" si="5"/>
        <v>770</v>
      </c>
      <c r="BE23" s="1198">
        <f t="shared" si="5"/>
        <v>0</v>
      </c>
      <c r="BF23" s="1198">
        <f t="shared" si="5"/>
        <v>0</v>
      </c>
      <c r="BG23" s="1198">
        <f>IF(ISNUMBER(Datos!K23/Datos!J23),Datos!K23/Datos!J23," - ")</f>
        <v>0.99579831932773111</v>
      </c>
      <c r="BH23" s="1202">
        <f>IF(ISNUMBER(((Datos!L23/Datos!K23)*11)/factor_trimestre),((Datos!L23/Datos!K23)*11)/factor_trimestre," - ")</f>
        <v>3.5569620253164556</v>
      </c>
      <c r="BI23" s="1198">
        <f>SUBTOTAL(9,BI16:BI22)</f>
        <v>0.21851739788199698</v>
      </c>
      <c r="BJ23" s="1198">
        <f>SUBTOTAL(9,BJ16:BJ22)</f>
        <v>0</v>
      </c>
      <c r="BK23" s="1198">
        <f>SUBTOTAL(9,BK16:BK22)</f>
        <v>0</v>
      </c>
      <c r="BL23" s="1198">
        <f>IF(ISNUMBER((I23-AB23+L23)/(F23)),(I23-AB23+L23)/(F23)," - ")</f>
        <v>-0.94926568758344454</v>
      </c>
      <c r="BM23" s="1205">
        <f>IF(ISNUMBER((Datos!P23-Datos!Q23)/(Datos!R23-Datos!P23+Datos!Q23)),(Datos!P23-Datos!Q23)/(Datos!R23-Datos!P23+Datos!Q23)," - ")</f>
        <v>-3.4615384615384617E-2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1581</v>
      </c>
      <c r="G31" s="1117">
        <f t="shared" si="18"/>
        <v>1962</v>
      </c>
      <c r="H31" s="1119">
        <f t="shared" si="18"/>
        <v>0</v>
      </c>
      <c r="I31" s="1117">
        <f t="shared" si="18"/>
        <v>0</v>
      </c>
      <c r="J31" s="1119">
        <f t="shared" si="18"/>
        <v>0</v>
      </c>
      <c r="K31" s="1119">
        <f t="shared" si="18"/>
        <v>0</v>
      </c>
      <c r="L31" s="1180">
        <f t="shared" si="18"/>
        <v>0</v>
      </c>
      <c r="M31" s="1180">
        <f t="shared" si="18"/>
        <v>0</v>
      </c>
      <c r="N31" s="1180">
        <f t="shared" si="18"/>
        <v>313</v>
      </c>
      <c r="O31" s="1180">
        <f t="shared" si="18"/>
        <v>0</v>
      </c>
      <c r="P31" s="1180">
        <f t="shared" si="18"/>
        <v>0</v>
      </c>
      <c r="Q31" s="1119">
        <f t="shared" si="18"/>
        <v>424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1434</v>
      </c>
      <c r="AC31" s="1118">
        <f t="shared" si="19"/>
        <v>695</v>
      </c>
      <c r="AD31" s="1118">
        <f t="shared" si="19"/>
        <v>0</v>
      </c>
      <c r="AE31" s="1118">
        <f t="shared" si="19"/>
        <v>0</v>
      </c>
      <c r="AF31" s="1125">
        <f t="shared" si="19"/>
        <v>1774</v>
      </c>
      <c r="AG31" s="1125">
        <f t="shared" si="19"/>
        <v>0</v>
      </c>
      <c r="AH31" s="1125">
        <f t="shared" si="19"/>
        <v>199</v>
      </c>
      <c r="AI31" s="1125">
        <f t="shared" si="19"/>
        <v>0</v>
      </c>
      <c r="AJ31" s="1118">
        <f t="shared" si="19"/>
        <v>0</v>
      </c>
      <c r="AK31" s="1125">
        <f t="shared" si="19"/>
        <v>0</v>
      </c>
      <c r="AL31" s="1125">
        <f t="shared" si="19"/>
        <v>0</v>
      </c>
      <c r="AM31" s="1125">
        <f t="shared" si="19"/>
        <v>5045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897</v>
      </c>
      <c r="BD31" s="1117">
        <f t="shared" si="19"/>
        <v>1438</v>
      </c>
      <c r="BE31" s="1117">
        <f t="shared" si="19"/>
        <v>0</v>
      </c>
      <c r="BF31" s="1127">
        <f t="shared" si="19"/>
        <v>0</v>
      </c>
      <c r="BG31" s="1223">
        <f>IF(ISNUMBER(Datos!K31/Datos!J31),Datos!K31/Datos!J31," - ")</f>
        <v>0.98407643312101911</v>
      </c>
      <c r="BH31" s="1223">
        <f>IF(ISNUMBER(((Datos!L31/Datos!K31)*11)/factor_trimestre),((Datos!L31/Datos!K31)*11)/factor_trimestre," - ")</f>
        <v>5.2038834951456314</v>
      </c>
      <c r="BI31" s="1103">
        <f>IF(ISNUMBER(Datos!J31/Datos!I31),Datos!J31/Datos!I31," - ")</f>
        <v>0.56576576576576576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-0.90702087286527511</v>
      </c>
      <c r="BM31" s="1188">
        <f>IF(ISNUMBER((Datos!P31-Datos!Q31+R31)/(Datos!R31-Datos!P31+Datos!Q31-R31)),(Datos!P31-Datos!Q31+R31)/(Datos!R31-Datos!P31+Datos!Q31-R31)," - ")</f>
        <v>-5.0978179082016552E-2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490.5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1.7404711333664431</v>
      </c>
      <c r="F33" s="673">
        <f>IF(ISNUMBER(STDEV(F8:F30)),STDEV(F8:F30),"-")</f>
        <v>715.71239900901401</v>
      </c>
      <c r="G33" s="674">
        <f>IF(ISNUMBER(STDEV(G8:G30)),STDEV(G8:G30),"-")</f>
        <v>804.68538661303614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626.99715196436784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268.91601332427609</v>
      </c>
      <c r="BD33" s="673"/>
      <c r="BE33" s="673">
        <f>IF(ISNUMBER(STDEV(BE8:BE30)),STDEV(BE8:BE30),"-")</f>
        <v>0</v>
      </c>
      <c r="BF33" s="678">
        <f>IF(ISNUMBER(STDEV(BF8:BF30)),STDEV(BF8:BF30),"-")</f>
        <v>0</v>
      </c>
      <c r="BG33" s="1052">
        <f>IF(ISNUMBER(STDEV(BG8:BG30)),STDEV(BG8:BG30),"-")</f>
        <v>0.11247700454489212</v>
      </c>
      <c r="BH33" s="1058">
        <f>IF(ISNUMBER(STDEV(BH8:BH30)),STDEV(BH8:BH30),"-")</f>
        <v>6.9802990694386455</v>
      </c>
      <c r="BI33" s="273">
        <f>IF(ISNUMBER(STDEV(BI8:BI30)),STDEV(BI8:BI30),"-")</f>
        <v>0.12265385444388363</v>
      </c>
      <c r="BJ33" s="244" t="str">
        <f>IF(ISNUMBER(BL33/BM33),BL33/BM33," - ")</f>
        <v xml:space="preserve"> - </v>
      </c>
      <c r="BK33" s="709"/>
      <c r="BL33" s="681">
        <f>IF(ISNUMBER(STDEV(BL8:BL30)),STDEV(BL8:BL30),"-")</f>
        <v>0.56899989912424664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HVZNuM9m0/M1kNEqNuLTiYimhMcPKjmRNwhl2sB+2aWq3W1AtNOrgND2nBUFu14fyxWSAxdM2yftcWRtiOFow==" saltValue="9HI5FGg4VJHyzLPdz4V/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LUGO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380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445</v>
      </c>
      <c r="AA9" s="551" t="str">
        <f>IF(ISNUMBER(IF(J_V="SI",Datos!L9,Datos!L9+Datos!AB9)-IF(Monitorios="SI",Datos!CD9,0)),
                          IF(J_V="SI",Datos!L9,Datos!L9+Datos!AB9)-IF(Monitorios="SI",Datos!CD9,0),
                          " - ")</f>
        <v xml:space="preserve"> - </v>
      </c>
      <c r="AB9" s="549"/>
      <c r="AC9" s="549"/>
      <c r="AD9" s="563"/>
      <c r="AE9" s="563">
        <f>IF(ISNUMBER(Datos!R9),Datos!R9," - ")</f>
        <v>4471</v>
      </c>
      <c r="AF9" s="693" t="str">
        <f>IF(ISNUMBER(Datos!BV9),Datos!BV9," - ")</f>
        <v xml:space="preserve"> - </v>
      </c>
      <c r="AG9" s="552" t="str">
        <f>IF(ISNUMBER(Datos!DV9),Datos!DV9," - ")</f>
        <v xml:space="preserve"> - </v>
      </c>
      <c r="AH9" s="553"/>
      <c r="AI9" s="554"/>
      <c r="AJ9" s="552">
        <f>IF(ISNUMBER(Datos!M9),Datos!M9," - ")</f>
        <v>654</v>
      </c>
      <c r="AK9" s="693">
        <f>IF(ISNUMBER(Datos!N9),Datos!N9," - ")</f>
        <v>654</v>
      </c>
      <c r="AL9" s="693" t="str">
        <f>IF(ISNUMBER(Datos!BW9),Datos!BW9," - ")</f>
        <v xml:space="preserve"> - </v>
      </c>
      <c r="AM9" s="762" t="str">
        <f>IF(ISNUMBER(Datos!BX9),Datos!BX9," - ")</f>
        <v xml:space="preserve"> - </v>
      </c>
      <c r="AN9" s="763"/>
      <c r="AO9" s="764">
        <f>IF(ISNUMBER(((NºAsuntos!I9/NºAsuntos!G9)*11)/factor_trimestre),((NºAsuntos!I9/NºAsuntos!G9)*11)/factor_trimestre," - ")</f>
        <v>5.903225806451613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-1.4329805996472662E-2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83</v>
      </c>
      <c r="G10" s="552">
        <f>IF(ISNUMBER(Datos!I10),Datos!I10," - ")</f>
        <v>83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88</v>
      </c>
      <c r="AB10" s="549"/>
      <c r="AC10" s="549"/>
      <c r="AD10" s="563"/>
      <c r="AE10" s="563">
        <f>IF(ISNUMBER(Datos!R10),Datos!R10," - ")</f>
        <v>73</v>
      </c>
      <c r="AF10" s="693" t="str">
        <f>IF(ISNUMBER(Datos!BV10),Datos!BV10," - ")</f>
        <v xml:space="preserve"> - </v>
      </c>
      <c r="AG10" s="552" t="str">
        <f>IF(ISNUMBER(Datos!DV10),Datos!DV10," - ")</f>
        <v xml:space="preserve"> - </v>
      </c>
      <c r="AH10" s="553"/>
      <c r="AI10" s="554"/>
      <c r="AJ10" s="552">
        <f>IF(ISNUMBER(Datos!M10),Datos!M10," - ")</f>
        <v>3</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7.3529411764705885E-2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202</v>
      </c>
      <c r="AA12" s="551" t="str">
        <f>IF(ISNUMBER(IF(J_V="SI",Datos!L12,Datos!L12+Datos!AB12)-IF(Monitorios="SI",Datos!CD12,0)),
                          IF(J_V="SI",Datos!L12,Datos!L12+Datos!AB12)-IF(Monitorios="SI",Datos!CD12,0),
                          " - ")</f>
        <v xml:space="preserve"> - </v>
      </c>
      <c r="AB12" s="549"/>
      <c r="AC12" s="549"/>
      <c r="AD12" s="563"/>
      <c r="AE12" s="563">
        <f>IF(ISNUMBER(Datos!R12),Datos!R12," - ")</f>
        <v>250</v>
      </c>
      <c r="AF12" s="693" t="str">
        <f>IF(ISNUMBER(Datos!BV12),Datos!BV12," - ")</f>
        <v xml:space="preserve"> - </v>
      </c>
      <c r="AG12" s="552" t="str">
        <f>IF(ISNUMBER(Datos!DV12),Datos!DV12," - ")</f>
        <v xml:space="preserve"> - </v>
      </c>
      <c r="AH12" s="553"/>
      <c r="AI12" s="554"/>
      <c r="AJ12" s="552">
        <f>IF(ISNUMBER(Datos!M12),Datos!M12," - ")</f>
        <v>0</v>
      </c>
      <c r="AK12" s="693">
        <f>IF(ISNUMBER(Datos!N12),Datos!N12," - ")</f>
        <v>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0.6923076923076924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-0.44690265486725661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83</v>
      </c>
      <c r="G14" s="1197">
        <f>SUBTOTAL(9,G8:G13)</f>
        <v>83</v>
      </c>
      <c r="H14" s="1211"/>
      <c r="I14" s="1197">
        <f t="shared" ref="I14:N14" si="1">SUBTOTAL(9,I8:I13)</f>
        <v>0</v>
      </c>
      <c r="J14" s="1164">
        <f t="shared" si="1"/>
        <v>0</v>
      </c>
      <c r="K14" s="1211">
        <f t="shared" si="1"/>
        <v>0</v>
      </c>
      <c r="L14" s="1211">
        <f t="shared" si="1"/>
        <v>0</v>
      </c>
      <c r="M14" s="1211">
        <f t="shared" si="1"/>
        <v>0</v>
      </c>
      <c r="N14" s="1211">
        <f t="shared" si="1"/>
        <v>385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647</v>
      </c>
      <c r="AA14" s="1199">
        <f t="shared" si="3"/>
        <v>88</v>
      </c>
      <c r="AB14" s="1199">
        <f t="shared" si="3"/>
        <v>0</v>
      </c>
      <c r="AC14" s="1199">
        <f t="shared" si="3"/>
        <v>0</v>
      </c>
      <c r="AD14" s="1199">
        <f t="shared" si="3"/>
        <v>0</v>
      </c>
      <c r="AE14" s="1199">
        <f t="shared" si="3"/>
        <v>4794</v>
      </c>
      <c r="AF14" s="1211">
        <f t="shared" si="3"/>
        <v>0</v>
      </c>
      <c r="AG14" s="1211">
        <f t="shared" si="3"/>
        <v>0</v>
      </c>
      <c r="AH14" s="1211">
        <f t="shared" si="3"/>
        <v>0</v>
      </c>
      <c r="AI14" s="1211">
        <f t="shared" si="3"/>
        <v>0</v>
      </c>
      <c r="AJ14" s="1211">
        <f t="shared" si="3"/>
        <v>657</v>
      </c>
      <c r="AK14" s="1211">
        <f t="shared" si="3"/>
        <v>668</v>
      </c>
      <c r="AL14" s="1211">
        <f t="shared" si="3"/>
        <v>0</v>
      </c>
      <c r="AM14" s="1211">
        <f t="shared" si="3"/>
        <v>0</v>
      </c>
      <c r="AN14" s="1211">
        <f t="shared" si="3"/>
        <v>0</v>
      </c>
      <c r="AO14" s="1203">
        <f>IF(ISNUMBER(((NºAsuntos!I14/NºAsuntos!G14)*11)/factor_trimestre),((NºAsuntos!I14/NºAsuntos!G14)*11)/factor_trimestre," - ")</f>
        <v>5.9676425269645614</v>
      </c>
      <c r="AP14" s="1213" t="str">
        <f>IF(ISNUMBER(Datos!CI14/Datos!CJ14),Datos!CI14/Datos!CJ14," - ")</f>
        <v xml:space="preserve"> - </v>
      </c>
      <c r="AQ14" s="1236">
        <f t="shared" ref="AQ14:AV14" si="4">SUBTOTAL(9,AQ9:AQ13)</f>
        <v>0</v>
      </c>
      <c r="AR14" s="1236">
        <f t="shared" si="4"/>
        <v>-0.38770304909902337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1498</v>
      </c>
      <c r="G16" s="552">
        <f>IF(ISNUMBER(IF(D_I="SI",Datos!I16,Datos!I16+Datos!AC16)),IF(D_I="SI",Datos!I16,Datos!I16+Datos!AC16)," - ")</f>
        <v>1697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1322</v>
      </c>
      <c r="Z16" s="805">
        <f>IF(ISNUMBER(Datos!Q16),Datos!Q16," - ")</f>
        <v>47</v>
      </c>
      <c r="AA16" s="551">
        <f>IF(ISNUMBER(IF(D_I="SI",Datos!L16,Datos!L16+Datos!AF16)),IF(D_I="SI",Datos!L16,Datos!L16+Datos!AF16)," - ")</f>
        <v>1493</v>
      </c>
      <c r="AB16" s="549"/>
      <c r="AC16" s="549"/>
      <c r="AD16" s="563"/>
      <c r="AE16" s="563">
        <f>IF(ISNUMBER(Datos!R16),Datos!R16," - ")</f>
        <v>251</v>
      </c>
      <c r="AF16" s="693" t="str">
        <f>IF(ISNUMBER(Datos!BV16),Datos!BV16," - ")</f>
        <v xml:space="preserve"> - </v>
      </c>
      <c r="AG16" s="552"/>
      <c r="AH16" s="553"/>
      <c r="AI16" s="554"/>
      <c r="AJ16" s="552">
        <f>IF(ISNUMBER(Datos!M16),Datos!M16," - ")</f>
        <v>236</v>
      </c>
      <c r="AK16" s="693">
        <f>IF(ISNUMBER(Datos!N16),Datos!N16," - ")</f>
        <v>700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3.3880484114977309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100</v>
      </c>
      <c r="Z18" s="805">
        <f>IF(ISNUMBER(Datos!Q18),Datos!Q18," - ")</f>
        <v>1</v>
      </c>
      <c r="AA18" s="551">
        <f>IF(ISNUMBER(Datos!L18),Datos!L18,"-")</f>
        <v>193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70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1498</v>
      </c>
      <c r="G23" s="1197">
        <f>SUBTOTAL(9,G16:G22)</f>
        <v>1879</v>
      </c>
      <c r="H23" s="1240">
        <f>SUBTOTAL(9,H16:H22)</f>
        <v>0</v>
      </c>
      <c r="I23" s="1217">
        <f>SUBTOTAL(9,I16:I22)</f>
        <v>0</v>
      </c>
      <c r="J23" s="1164">
        <f>SUBTOTAL(9,J15:J22)</f>
        <v>0</v>
      </c>
      <c r="K23" s="1240">
        <f t="shared" ref="K23:S23" si="5">SUBTOTAL(9,K16:K22)</f>
        <v>0</v>
      </c>
      <c r="L23" s="1240">
        <f t="shared" si="5"/>
        <v>0</v>
      </c>
      <c r="M23" s="1240">
        <f t="shared" si="5"/>
        <v>0</v>
      </c>
      <c r="N23" s="1240">
        <f t="shared" si="5"/>
        <v>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1422</v>
      </c>
      <c r="Z23" s="1240">
        <f t="shared" si="6"/>
        <v>48</v>
      </c>
      <c r="AA23" s="1240">
        <f t="shared" si="6"/>
        <v>1686</v>
      </c>
      <c r="AB23" s="1240">
        <f t="shared" si="6"/>
        <v>0</v>
      </c>
      <c r="AC23" s="1240">
        <f t="shared" si="6"/>
        <v>0</v>
      </c>
      <c r="AD23" s="1240">
        <f t="shared" si="6"/>
        <v>0</v>
      </c>
      <c r="AE23" s="1240">
        <f t="shared" si="6"/>
        <v>251</v>
      </c>
      <c r="AF23" s="1240">
        <f t="shared" si="6"/>
        <v>0</v>
      </c>
      <c r="AG23" s="1240">
        <f t="shared" si="6"/>
        <v>0</v>
      </c>
      <c r="AH23" s="1240">
        <f t="shared" si="6"/>
        <v>0</v>
      </c>
      <c r="AI23" s="1240">
        <f t="shared" si="6"/>
        <v>0</v>
      </c>
      <c r="AJ23" s="1240">
        <f t="shared" si="6"/>
        <v>240</v>
      </c>
      <c r="AK23" s="1240">
        <f t="shared" si="6"/>
        <v>770</v>
      </c>
      <c r="AL23" s="1240">
        <f t="shared" si="6"/>
        <v>0</v>
      </c>
      <c r="AM23" s="1240">
        <f t="shared" si="6"/>
        <v>0</v>
      </c>
      <c r="AN23" s="1240">
        <f t="shared" si="6"/>
        <v>0</v>
      </c>
      <c r="AO23" s="1242">
        <f>IF(ISNUMBER(((NºAsuntos!I23/NºAsuntos!G23)*11)/factor_trimestre),((NºAsuntos!I23/NºAsuntos!G23)*11)/factor_trimestre," - ")</f>
        <v>3.5569620253164556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1581</v>
      </c>
      <c r="G31" s="1117">
        <f t="shared" si="12"/>
        <v>1962</v>
      </c>
      <c r="H31" s="1118">
        <f t="shared" si="12"/>
        <v>0</v>
      </c>
      <c r="I31" s="1117">
        <f t="shared" si="12"/>
        <v>0</v>
      </c>
      <c r="J31" s="1119">
        <f t="shared" si="12"/>
        <v>0</v>
      </c>
      <c r="K31" s="1117">
        <f t="shared" si="12"/>
        <v>0</v>
      </c>
      <c r="L31" s="1120">
        <f t="shared" si="12"/>
        <v>0</v>
      </c>
      <c r="M31" s="1117">
        <f t="shared" si="12"/>
        <v>0</v>
      </c>
      <c r="N31" s="1118">
        <f t="shared" si="12"/>
        <v>424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1434</v>
      </c>
      <c r="Z31" s="1124">
        <f t="shared" si="13"/>
        <v>695</v>
      </c>
      <c r="AA31" s="1125">
        <f t="shared" si="13"/>
        <v>1774</v>
      </c>
      <c r="AB31" s="1125">
        <f t="shared" si="13"/>
        <v>0</v>
      </c>
      <c r="AC31" s="1125">
        <f t="shared" si="13"/>
        <v>0</v>
      </c>
      <c r="AD31" s="1126">
        <f t="shared" si="13"/>
        <v>0</v>
      </c>
      <c r="AE31" s="1126">
        <f t="shared" si="13"/>
        <v>5045</v>
      </c>
      <c r="AF31" s="1127">
        <f t="shared" si="13"/>
        <v>0</v>
      </c>
      <c r="AG31" s="1128">
        <f t="shared" si="13"/>
        <v>0</v>
      </c>
      <c r="AH31" s="1129">
        <f t="shared" si="13"/>
        <v>0</v>
      </c>
      <c r="AI31" s="1127">
        <f t="shared" si="13"/>
        <v>0</v>
      </c>
      <c r="AJ31" s="1117">
        <f t="shared" si="13"/>
        <v>897</v>
      </c>
      <c r="AK31" s="1117">
        <f t="shared" si="13"/>
        <v>1438</v>
      </c>
      <c r="AL31" s="1117">
        <f t="shared" si="13"/>
        <v>0</v>
      </c>
      <c r="AM31" s="1130">
        <f t="shared" si="13"/>
        <v>0</v>
      </c>
      <c r="AN31" s="1120">
        <f>IF(ISNUMBER(Datos!K31/Datos!J31),Datos!K31/Datos!J31," - ")</f>
        <v>0.98407643312101911</v>
      </c>
      <c r="AO31" s="1120">
        <f>IF(ISNUMBER(FIND("06",Criterios!A8,1)),(IF(ISNUMBER(((Datos!R31/Datos!Q31)*11)/factor_trimestre),((Datos!R31/Datos!Q31)*11)/factor_trimestre," - ")),(IF(ISNUMBER(((Datos!L31/Datos!K31)*11)/factor_trimestre),((Datos!L31/Datos!K31)*11)/factor_trimestre," - ")))</f>
        <v>5.2038834951456314</v>
      </c>
      <c r="AP31" s="1131" t="str">
        <f>IF(ISNUMBER(Datos!CI31/Datos!CJ31),Datos!CI31/Datos!CJ31," - ")</f>
        <v xml:space="preserve"> - </v>
      </c>
      <c r="AQ31" s="1131">
        <f>IF(OR(ISNUMBER(FIND("01",Criterios!A8,1)),ISNUMBER(FIND("02",Criterios!A8,1)),ISNUMBER(FIND("03",Criterios!A8,1)),ISNUMBER(FIND("04",Criterios!A8,1))),(J31-Y31+K31)/(F31-K31),(I31-Y31+K31)/(F31-K31))</f>
        <v>-0.90702087286527511</v>
      </c>
      <c r="AR31" s="1131">
        <f>IF(ISNUMBER((Datos!P31-Datos!Q31+O31)/(Datos!R31-Datos!P31+Datos!Q31-O31)),(Datos!P31-Datos!Q31+O31)/(Datos!R31-Datos!P31+Datos!Q31-O31)," - ")</f>
        <v>-5.0978179082016552E-2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490.5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715.71239900901401</v>
      </c>
      <c r="G33" s="674">
        <f>IF(ISNUMBER(STDEV(G8:G30)),STDEV(G8:G30),"-")</f>
        <v>804.68538661303614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268.91601332427609</v>
      </c>
      <c r="AK33" s="276"/>
      <c r="AL33" s="276">
        <f>IF(ISNUMBER(STDEV(AL8:AL30)),STDEV(AL8:AL30),"-")</f>
        <v>0</v>
      </c>
      <c r="AM33" s="278">
        <f>IF(ISNUMBER(STDEV(AM8:AM30)),STDEV(AM8:AM30),"-")</f>
        <v>0</v>
      </c>
      <c r="AN33" s="660">
        <f>IF(ISNUMBER(STDEV(AN8:AN30)),STDEV(AN8:AN30),"-")</f>
        <v>0</v>
      </c>
      <c r="AO33" s="661">
        <f>IF(ISNUMBER(STDEV(AO8:AO30)),STDEV(AO8:AO30),"-")</f>
        <v>6.9881652829543164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hbGrSFiKfR5f+YHGhbvrcfs7AlM0iagNEBpxvZl/vYlrh7zXuJR7sNNrvF9RIYnc3c8cS2xMg0FmT9YgwxvKg==" saltValue="VjiJDd1vfcSlWdt1b8Sn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OKMkG/BLcLZDnNNOyFs4gBkN4izXU7QD3cNNPmWRLXmaVEr0OKNFHEKVTpzVpIXXAUJ4q/1JMWVm7fBZS2btQ==" saltValue="DWcrTtMUULu8p+oUcb1I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hiPudqoil2hjNVEIgPt0/rjNjUBxYlHrUnN6OU307sLFWkk65+qMd0r6k3/9abRJ7hvubzopHKzwExf9yyXiA==" saltValue="WNm+GEOFZ5i+6ZhI7FIt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LUGO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0.33744221879815101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0.23860768117080727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6T/NB7YFUV6Sv3WMFGyz6BTxbsOio9HBQR7khIs8Jl0mF/o8bRiP9Yl85TyiM4yk+nz4TOYN7q7Zx7SvZgPw==" saltValue="0EPU3rSXm5wLGg4LwhYC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BlFXrU/Qn+0BbcftVgP7JA9X7hb3PND4hcCn81ejs3JCV6Vokt5ArekIoew3vVlvuYQstZ6lcEgfbak9pMCkEA==" saltValue="7DXNdThwcPffRf7nXm7a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LUGO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3737</v>
      </c>
      <c r="D9" s="452">
        <f>IF(ISNUMBER(C9/Datos!BH9),C9/Datos!BH9," - ")</f>
        <v>747.4</v>
      </c>
      <c r="E9" s="451">
        <f>IF(ISNUMBER(IF(J_V="SI",Datos!J9,Datos!J9+Datos!Z9)),IF(J_V="SI",Datos!J9,Datos!J9+Datos!Z9)," - ")</f>
        <v>2008</v>
      </c>
      <c r="F9" s="452">
        <f>IF(ISNUMBER(E9/B9),E9/B9," - ")</f>
        <v>401.6</v>
      </c>
      <c r="G9" s="451">
        <f>IF(ISNUMBER(IF(J_V="SI",Datos!K9,Datos!K9+Datos!AA9)),IF(J_V="SI",Datos!K9,Datos!K9+Datos!AA9)," - ")</f>
        <v>1922</v>
      </c>
      <c r="H9" s="452">
        <f>IF(ISNUMBER(G9/B9),G9/B9," - ")</f>
        <v>384.4</v>
      </c>
      <c r="I9" s="451">
        <f>IF(ISNUMBER(IF(J_V="SI",Datos!L9,Datos!L9+Datos!AB9)),IF(J_V="SI",Datos!L9,Datos!L9+Datos!AB9)," - ")</f>
        <v>3782</v>
      </c>
      <c r="J9" s="452">
        <f>IF(ISNUMBER(I9/B9),I9/B9," - ")</f>
        <v>756.4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83</v>
      </c>
      <c r="D10" s="452">
        <f>IF(ISNUMBER(C10/Datos!BH10),C10/Datos!BH10," - ")</f>
        <v>83</v>
      </c>
      <c r="E10" s="451">
        <f>IF(ISNUMBER(Datos!J10),Datos!J10," - ")</f>
        <v>17</v>
      </c>
      <c r="F10" s="452">
        <f>IF(ISNUMBER(E10/B10),E10/B10," - ")</f>
        <v>17</v>
      </c>
      <c r="G10" s="451">
        <f>IF(ISNUMBER(Datos!K10),Datos!K10," - ")</f>
        <v>12</v>
      </c>
      <c r="H10" s="452">
        <f>IF(ISNUMBER(G10/B10),G10/B10," - ")</f>
        <v>12</v>
      </c>
      <c r="I10" s="451">
        <f>IF(ISNUMBER(Datos!L10),Datos!L10," - ")</f>
        <v>88</v>
      </c>
      <c r="J10" s="452">
        <f>IF(ISNUMBER(I10/B10),I10/B10," - ")</f>
        <v>88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16</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13</v>
      </c>
      <c r="H12" s="452" t="str">
        <f>IF(ISNUMBER(G12/B12),G12/B12," - ")</f>
        <v xml:space="preserve"> - </v>
      </c>
      <c r="I12" s="451">
        <f>IF(ISNUMBER(IF(J_V="SI",Datos!L12,Datos!L12+Datos!AB12)),IF(J_V="SI",Datos!L12,Datos!L12+Datos!AB12)," - ")</f>
        <v>3</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3836</v>
      </c>
      <c r="D14" s="1147" t="str">
        <f>IF(ISNUMBER(C14/Datos!BI14),C14/Datos!BI14," - ")</f>
        <v xml:space="preserve"> - </v>
      </c>
      <c r="E14" s="1146">
        <f>SUBTOTAL(9,E8:E13)</f>
        <v>2025</v>
      </c>
      <c r="F14" s="1147">
        <f>IF(ISNUMBER(E14/B14),E14/B14," - ")</f>
        <v>405</v>
      </c>
      <c r="G14" s="1146">
        <f>SUBTOTAL(9,G8:G13)</f>
        <v>1947</v>
      </c>
      <c r="H14" s="1147">
        <f>IF(ISNUMBER(G14/B14),G14/B14," - ")</f>
        <v>389.4</v>
      </c>
      <c r="I14" s="1146">
        <f>SUBTOTAL(9,I8:I13)</f>
        <v>3873</v>
      </c>
      <c r="J14" s="1147">
        <f>IF(ISNUMBER(I14/B14),I14/B14," - ")</f>
        <v>774.6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1697</v>
      </c>
      <c r="D16" s="452">
        <f>IF(ISNUMBER(C16/Datos!BH16),C16/Datos!BH16," - ")</f>
        <v>565.66666666666663</v>
      </c>
      <c r="E16" s="451">
        <f>IF(ISNUMBER(IF(D_I="SI",Datos!J16,Datos!J16+Datos!AD16)),IF(D_I="SI",Datos!J16,Datos!J16+Datos!AD16)," - ")</f>
        <v>1317</v>
      </c>
      <c r="F16" s="452">
        <f>IF(ISNUMBER(E16/B16),E16/B16," - ")</f>
        <v>439</v>
      </c>
      <c r="G16" s="451">
        <f>IF(ISNUMBER(IF(D_I="SI",Datos!K16,Datos!K16+Datos!AE16)),IF(D_I="SI",Datos!K16,Datos!K16+Datos!AE16)," - ")</f>
        <v>1322</v>
      </c>
      <c r="H16" s="452">
        <f>IF(ISNUMBER(G16/B16),G16/B16," - ")</f>
        <v>440.66666666666669</v>
      </c>
      <c r="I16" s="451">
        <f>IF(ISNUMBER(IF(D_I="SI",Datos!L16,Datos!L16+Datos!AF16)),IF(D_I="SI",Datos!L16,Datos!L16+Datos!AF16)," - ")</f>
        <v>1493</v>
      </c>
      <c r="J16" s="452">
        <f>IF(ISNUMBER(I16/B16),I16/B16," - ")</f>
        <v>497.66666666666669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182</v>
      </c>
      <c r="D18" s="452">
        <f>IF(ISNUMBER(C18/Datos!BH18),C18/Datos!BH18," - ")</f>
        <v>182</v>
      </c>
      <c r="E18" s="451">
        <f>IF(ISNUMBER(IF(D_I="SI",Datos!J18,Datos!J18+Datos!AD18)),IF(D_I="SI",Datos!J18,Datos!J18+Datos!AD18)," - ")</f>
        <v>111</v>
      </c>
      <c r="F18" s="452">
        <f>IF(ISNUMBER(E18/B18),E18/B18," - ")</f>
        <v>111</v>
      </c>
      <c r="G18" s="451">
        <f>IF(ISNUMBER(IF(D_I="SI",Datos!K18,Datos!K18+Datos!AE18)),IF(D_I="SI",Datos!K18,Datos!K18+Datos!AE18)," - ")</f>
        <v>100</v>
      </c>
      <c r="H18" s="452">
        <f>IF(ISNUMBER(G18/B18),G18/B18," - ")</f>
        <v>100</v>
      </c>
      <c r="I18" s="451">
        <f>IF(ISNUMBER(IF(D_I="SI",Datos!L18,Datos!L18+Datos!AF18)),IF(D_I="SI",Datos!L18,Datos!L18+Datos!AF18)," - ")</f>
        <v>193</v>
      </c>
      <c r="J18" s="452">
        <f>IF(ISNUMBER(I18/B18),I18/B18," - ")</f>
        <v>193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1879</v>
      </c>
      <c r="D23" s="1147" t="str">
        <f>IF(ISNUMBER(C23/Datos!BI23),C23/Datos!BI23," - ")</f>
        <v xml:space="preserve"> - </v>
      </c>
      <c r="E23" s="1146">
        <f>SUBTOTAL(9,E15:E22)</f>
        <v>1428</v>
      </c>
      <c r="F23" s="1147">
        <f>IF(ISNUMBER(E23/B23),E23/B23," - ")</f>
        <v>476</v>
      </c>
      <c r="G23" s="1146">
        <f>SUBTOTAL(9,G15:G22)</f>
        <v>1422</v>
      </c>
      <c r="H23" s="1147">
        <f>IF(ISNUMBER(G23/B23),G23/B23," - ")</f>
        <v>474</v>
      </c>
      <c r="I23" s="1146">
        <f>SUBTOTAL(9,I15:I22)</f>
        <v>1686</v>
      </c>
      <c r="J23" s="1147">
        <f>IF(ISNUMBER(I23/B23),I23/B23," - ")</f>
        <v>562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5715</v>
      </c>
      <c r="D31" s="1085" t="str">
        <f>IF(ISNUMBER(C31/Datos!BI31),C31/Datos!BI31," - ")</f>
        <v xml:space="preserve"> - </v>
      </c>
      <c r="E31" s="1084">
        <f>SUBTOTAL(9,E9:E30)</f>
        <v>3453</v>
      </c>
      <c r="F31" s="1085">
        <f>IF(ISNUMBER(E31/B31),E31/B31," - ")</f>
        <v>431.625</v>
      </c>
      <c r="G31" s="1084">
        <f>SUBTOTAL(9,G9:G30)</f>
        <v>3369</v>
      </c>
      <c r="H31" s="1085">
        <f>IF(ISNUMBER(G31/B31),G31/B31," - ")</f>
        <v>421.125</v>
      </c>
      <c r="I31" s="1084">
        <f>SUBTOTAL(9,I9:I30)</f>
        <v>5559</v>
      </c>
      <c r="J31" s="1085">
        <f>IF(ISNUMBER(I31/B31),I31/B31," - ")</f>
        <v>694.875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3/JnC0T+x7F7Sd/c+lH9Ju8jeW1bNs648ME9nNGV4rjDnGKNtzg/OZCciXx6WTUfuxuthMpPp988tddqrQQZQ==" saltValue="+OJYb5og9cFe+BVpHlJJa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LUGO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83</v>
      </c>
      <c r="G10" s="906">
        <f>IF(ISNUMBER(Datos!I10),Datos!I10," - ")</f>
        <v>83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88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22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0.6923076923076924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-0.44690265486725661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83</v>
      </c>
      <c r="G14" s="1256">
        <f t="shared" si="0"/>
        <v>83</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202</v>
      </c>
      <c r="AE14" s="1257">
        <f t="shared" si="1"/>
        <v>0</v>
      </c>
      <c r="AF14" s="1257">
        <f t="shared" si="1"/>
        <v>88</v>
      </c>
      <c r="AG14" s="1257">
        <f t="shared" si="1"/>
        <v>0</v>
      </c>
      <c r="AH14" s="1257">
        <f t="shared" si="1"/>
        <v>250</v>
      </c>
      <c r="AI14" s="1257">
        <f t="shared" si="1"/>
        <v>0</v>
      </c>
      <c r="AJ14" s="1257">
        <f t="shared" si="1"/>
        <v>0</v>
      </c>
      <c r="AK14" s="1257">
        <f t="shared" si="1"/>
        <v>0</v>
      </c>
      <c r="AL14" s="1257">
        <f t="shared" si="1"/>
        <v>3</v>
      </c>
      <c r="AM14" s="1257">
        <f t="shared" si="1"/>
        <v>14</v>
      </c>
      <c r="AN14" s="1257">
        <f t="shared" si="1"/>
        <v>0</v>
      </c>
      <c r="AO14" s="1257">
        <f t="shared" si="1"/>
        <v>0</v>
      </c>
      <c r="AP14" s="1262">
        <f>IF(ISNUMBER(((Datos!L14/Datos!K14)*11)/factor_trimestre),((Datos!L14/Datos!K14)*11)/factor_trimestre," - ")</f>
        <v>6.6079136690647493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-0.14457831325301204</v>
      </c>
      <c r="AU14" s="1257" t="str">
        <f>IF(ISNUMBER((DatosP!#REF!-DatosP!#REF!+DatosP!#REF!)/(DatosP!#REF!+DatosP!#REF!-DatosP!#REF!-DatosP!#REF!)),(DatosP!#REF!-DatosP!#REF!+DatosP!#REF!)/(DatosP!#REF!+DatosP!#REF!-DatosP!#REF!-DatosP!#REF!)," - ")</f>
        <v xml:space="preserve"> - </v>
      </c>
      <c r="AV14" s="1263">
        <f>SUBTOTAL(9,AV9:AV13)</f>
        <v>-0.44690265486725661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3.5569620253164556</v>
      </c>
      <c r="AQ23" s="1262">
        <f>IF(ISNUMBER(((Datos!M23/Datos!L23)*11)/factor_trimestre),((Datos!M23/Datos!L23)*11)/factor_trimestre," - ")</f>
        <v>0.42704626334519574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-3.4615384615384617E-2</v>
      </c>
      <c r="AW23" s="1265">
        <f>IF(ISNUMBER((Datos!Q23-Datos!R23)/(Datos!S23-Datos!Q23+Datos!R23)),(Datos!Q23-Datos!R23)/(Datos!S23-Datos!Q23+Datos!R23)," - ")</f>
        <v>-8.2486793986184484E-2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83</v>
      </c>
      <c r="G31" s="1278">
        <f t="shared" si="8"/>
        <v>83</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202</v>
      </c>
      <c r="AE31" s="1284">
        <f t="shared" si="9"/>
        <v>0</v>
      </c>
      <c r="AF31" s="1285">
        <f t="shared" si="9"/>
        <v>88</v>
      </c>
      <c r="AG31" s="1285">
        <f t="shared" si="9"/>
        <v>0</v>
      </c>
      <c r="AH31" s="1285">
        <f t="shared" si="9"/>
        <v>250</v>
      </c>
      <c r="AI31" s="1285">
        <f t="shared" si="9"/>
        <v>0</v>
      </c>
      <c r="AJ31" s="1286">
        <f t="shared" si="9"/>
        <v>0</v>
      </c>
      <c r="AK31" s="1286">
        <f t="shared" si="9"/>
        <v>0</v>
      </c>
      <c r="AL31" s="1278">
        <f t="shared" si="9"/>
        <v>3</v>
      </c>
      <c r="AM31" s="1278">
        <f t="shared" si="9"/>
        <v>14</v>
      </c>
      <c r="AN31" s="1278">
        <f t="shared" si="9"/>
        <v>0</v>
      </c>
      <c r="AO31" s="1278">
        <f t="shared" si="9"/>
        <v>0</v>
      </c>
      <c r="AP31" s="1278">
        <f>IF(ISNUMBER(((Datos!L31/Datos!K31)*11)/factor_trimestre),((Datos!L31/Datos!K31)*11)/factor_trimestre," - ")</f>
        <v>5.2038834951456314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-0.14457831325301204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-5.0978179082016552E-2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33.200000000000003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45.460972272928785</v>
      </c>
      <c r="G33" s="1007">
        <f>IF(ISNUMBER(STDEV(G8:G30)),STDEV(G8:G30),"-")</f>
        <v>45.460972272928785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1.5491933384829668</v>
      </c>
      <c r="AM33" s="1006"/>
      <c r="AN33" s="1006">
        <f>IF(ISNUMBER(STDEV(AN8:AN30)),STDEV(AN8:AN30),"-")</f>
        <v>0</v>
      </c>
      <c r="AO33" s="1012">
        <f>IF(ISNUMBER(STDEV(AO8:AO30)),STDEV(AO8:AO30),"-")</f>
        <v>0</v>
      </c>
      <c r="AP33" s="1065">
        <f>IF(ISNUMBER(STDEV(AP8:AP30)),STDEV(AP8:AP30),"-")</f>
        <v>9.5025815233117594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FvNXl5LhFPzIiHavTlR7grbGCuZtAz7JhbJM6nUBWlG3s4Ffg5BWLY5y8fx6P2NtjjJ6/SMxX5eNiW0PqN9nw==" saltValue="MXah79eR2d6aKmdq4SgD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LUGO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8q0q42+NDT4Wki+6XlNLg+5opVRfkD4JnV+41sfEKFUJ0cr6suWCn5W4JjgVYZoTNCOa+HlYLRD3LuWiRJhj4Q==" saltValue="aO/LDoXn7yyOxwR9rK6kl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LUGO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654</v>
      </c>
      <c r="E9" s="452">
        <f t="shared" ref="E9:E14" si="0">IF(ISNUMBER(D9/B9),D9/B9," - ")</f>
        <v>130.80000000000001</v>
      </c>
      <c r="F9" s="451">
        <f>IF(ISNUMBER(Datos!N9),Datos!N9," - ")</f>
        <v>654</v>
      </c>
      <c r="G9" s="452">
        <f t="shared" ref="G9:G14" si="1">IF(ISNUMBER(F9/B9),F9/B9," - ")</f>
        <v>130.80000000000001</v>
      </c>
      <c r="H9" s="451">
        <f>IF(ISNUMBER(Datos!O9),Datos!O9," - ")</f>
        <v>801</v>
      </c>
      <c r="I9" s="452">
        <f>IF(ISNUMBER(H9/B9),H9/B9," - ")</f>
        <v>160.19999999999999</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4</v>
      </c>
      <c r="G10" s="452">
        <f>IF(ISNUMBER(F10/B10),F10/B10," - ")</f>
        <v>4</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10</v>
      </c>
      <c r="G12" s="452" t="str">
        <f t="shared" si="1"/>
        <v xml:space="preserve"> - </v>
      </c>
      <c r="H12" s="451">
        <f>IF(ISNUMBER(Datos!O12),Datos!O12," - ")</f>
        <v>2</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657</v>
      </c>
      <c r="E14" s="1147">
        <f t="shared" si="0"/>
        <v>109.5</v>
      </c>
      <c r="F14" s="1146">
        <f>SUBTOTAL(9,F9:F13)</f>
        <v>668</v>
      </c>
      <c r="G14" s="1147">
        <f t="shared" si="1"/>
        <v>111.33333333333333</v>
      </c>
      <c r="H14" s="1146">
        <f>SUBTOTAL(9,H9:H13)</f>
        <v>807</v>
      </c>
      <c r="I14" s="1147">
        <f>IF(ISNUMBER(H14/B14),H14/B14," - ")</f>
        <v>134.5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236</v>
      </c>
      <c r="E16" s="452">
        <f t="shared" ref="E16:E23" si="3">IF(ISNUMBER(D16/B16),D16/B16," - ")</f>
        <v>78.666666666666671</v>
      </c>
      <c r="F16" s="451">
        <f>IF(ISNUMBER(Datos!N16),Datos!N16," - ")</f>
        <v>700</v>
      </c>
      <c r="G16" s="452">
        <f t="shared" ref="G16:G23" si="4">IF(ISNUMBER(F16/B16),F16/B16," - ")</f>
        <v>233.33333333333334</v>
      </c>
      <c r="H16" s="451">
        <f>IF(ISNUMBER(Datos!O16),Datos!O16," - ")</f>
        <v>12</v>
      </c>
      <c r="I16" s="452">
        <f t="shared" ref="I16:I22" si="5">IF(ISNUMBER(H16/B16),H16/B16," - ")</f>
        <v>4</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70</v>
      </c>
      <c r="G18" s="452">
        <f>IF(ISNUMBER(F18/B18),F18/B18," - ")</f>
        <v>70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240</v>
      </c>
      <c r="E23" s="1147">
        <f t="shared" si="3"/>
        <v>60</v>
      </c>
      <c r="F23" s="1146">
        <f>SUBTOTAL(9,F16:F22)</f>
        <v>770</v>
      </c>
      <c r="G23" s="1147">
        <f t="shared" si="4"/>
        <v>192.5</v>
      </c>
      <c r="H23" s="1146">
        <f>SUBTOTAL(9,H16:H22)</f>
        <v>12</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897</v>
      </c>
      <c r="E31" s="1085">
        <f>IF(ISNUMBER(D31/B31),D31/B31," - ")</f>
        <v>112.125</v>
      </c>
      <c r="F31" s="1084">
        <f>SUBTOTAL(9,F8:F30)</f>
        <v>1438</v>
      </c>
      <c r="G31" s="1085">
        <f>IF(ISNUMBER(F31/B31),F31/B31," - ")</f>
        <v>179.75</v>
      </c>
      <c r="H31" s="1084">
        <f>SUBTOTAL(9,H8:H30)</f>
        <v>819</v>
      </c>
      <c r="I31" s="1085">
        <f>IF(ISNUMBER(H31/B31),H31/B31," - ")</f>
        <v>102.375</v>
      </c>
    </row>
    <row r="34" spans="1:1">
      <c r="A34" s="439" t="str">
        <f>Criterios!A4</f>
        <v>Fecha Informe: 05 may. 2023</v>
      </c>
    </row>
    <row r="39" spans="1:1">
      <c r="A39" s="462"/>
    </row>
  </sheetData>
  <sheetProtection algorithmName="SHA-512" hashValue="RyWlTaQB7VGFYsZtUprHL+E0moVLWJSy608Gc6kvDFspkEg73UXTGadE0/DwxzpfqNhSRoleAWKDN8nAvDLaLg==" saltValue="NdlikckPDduReQxDekFH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LUGO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380</v>
      </c>
      <c r="C9" s="489">
        <f>IF(ISNUMBER(Datos!Q9),Datos!Q9," - ")</f>
        <v>445</v>
      </c>
      <c r="D9" s="456">
        <f>IF(ISNUMBER(Datos!R9),Datos!R9," - ")</f>
        <v>4471</v>
      </c>
    </row>
    <row r="10" spans="1:4">
      <c r="A10" s="450" t="str">
        <f>Datos!A10</f>
        <v>Jdos. Violencia contra la mujer</v>
      </c>
      <c r="B10" s="488">
        <f>IF(ISNUMBER(Datos!P10),Datos!P10," - ")</f>
        <v>5</v>
      </c>
      <c r="C10" s="489">
        <f>IF(ISNUMBER(Datos!Q10),Datos!Q10," - ")</f>
        <v>0</v>
      </c>
      <c r="D10" s="456">
        <f>IF(ISNUMBER(Datos!R10),Datos!R10," - ")</f>
        <v>73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202</v>
      </c>
      <c r="D12" s="456">
        <f>IF(ISNUMBER(Datos!R12),Datos!R12," - ")</f>
        <v>250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385</v>
      </c>
      <c r="C14" s="1150">
        <f>SUBTOTAL(9,C9:C13)</f>
        <v>647</v>
      </c>
      <c r="D14" s="1148">
        <f>SUBTOTAL(9,D9:D13)</f>
        <v>4794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39</v>
      </c>
      <c r="C16" s="489">
        <f>IF(ISNUMBER(Datos!Q16),Datos!Q16," - ")</f>
        <v>47</v>
      </c>
      <c r="D16" s="456">
        <f>IF(ISNUMBER(Datos!R16),Datos!R16," - ")</f>
        <v>251</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v>
      </c>
      <c r="C23" s="1150">
        <f>SUBTOTAL(9,C16:C22)</f>
        <v>48</v>
      </c>
      <c r="D23" s="1148">
        <f>SUBTOTAL(9,D16:D22)</f>
        <v>251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424</v>
      </c>
      <c r="C31" s="1089">
        <f>SUBTOTAL(9,C8:C30)</f>
        <v>695</v>
      </c>
      <c r="D31" s="1090">
        <f>SUBTOTAL(9,D8:D30)</f>
        <v>5045</v>
      </c>
    </row>
    <row r="32" spans="1:4" ht="7.5" customHeight="1"/>
    <row r="33" spans="1:1" ht="6" customHeight="1"/>
    <row r="34" spans="1:1">
      <c r="A34" s="439" t="str">
        <f>Criterios!A4</f>
        <v>Fecha Informe: 05 may. 2023</v>
      </c>
    </row>
    <row r="39" spans="1:1">
      <c r="A39" s="462"/>
    </row>
  </sheetData>
  <sheetProtection algorithmName="SHA-512" hashValue="uRSRKAqY9Z7GXrhSsszAte3l1RPUVICOU76/G24d1vf2BWinaHt1jHEmf7wzrXNaA4HopPGIqG9KHbwReU0d0A==" saltValue="ouyJ5drE71eV9EQFp+Zj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LUGO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-8.6308068459657702E-2</v>
      </c>
      <c r="C9" s="515">
        <f>IF(ISNUMBER(
   IF(J_V="SI",(Datos!J9-Datos!T9)/Datos!T9,(Datos!J9+Datos!Z9-(Datos!T9+Datos!AH9))/(Datos!T9+Datos!AH9))
     ),IF(J_V="SI",(Datos!J9-Datos!T9)/Datos!T9,(Datos!J9+Datos!Z9-(Datos!T9+Datos!AH9))/(Datos!T9+Datos!AH9))," - ")</f>
        <v>-9.5087877422262282E-2</v>
      </c>
      <c r="D9" s="515">
        <f>IF(ISNUMBER(
   IF(J_V="SI",(Datos!K9-Datos!U9)/Datos!U9,(Datos!K9+Datos!AA9-(Datos!U9+Datos!AI9))/(Datos!U9+Datos!AI9))
     ),IF(J_V="SI",(Datos!K9-Datos!U9)/Datos!U9,(Datos!K9+Datos!AA9-(Datos!U9+Datos!AI9))/(Datos!U9+Datos!AI9))," - ")</f>
        <v>-0.20644095788604458</v>
      </c>
      <c r="E9" s="515">
        <f>IF(ISNUMBER(
   IF(J_V="SI",(Datos!L9-Datos!V9)/Datos!V9,(Datos!L9+Datos!AB9-(Datos!V9+Datos!AJ9))/(Datos!V9+Datos!AJ9))
     ),IF(J_V="SI",(Datos!L9-Datos!V9)/Datos!V9,(Datos!L9+Datos!AB9-(Datos!V9+Datos!AJ9))/(Datos!V9+Datos!AJ9))," - ")</f>
        <v>-3.1746031746031744E-2</v>
      </c>
      <c r="F9" s="515">
        <f>IF(ISNUMBER((Datos!M9-Datos!W9)/Datos!W9),(Datos!M9-Datos!W9)/Datos!W9," - ")</f>
        <v>-0.20437956204379562</v>
      </c>
      <c r="G9" s="516">
        <f>IF(ISNUMBER((Datos!N9-Datos!X9)/Datos!X9),(Datos!N9-Datos!X9)/Datos!X9," - ")</f>
        <v>-0.20341047503045068</v>
      </c>
      <c r="H9" s="514">
        <f>IF(ISNUMBER(((NºAsuntos!G9/NºAsuntos!E9)-Datos!BD9)/Datos!BD9),((NºAsuntos!G9/NºAsuntos!E9)-Datos!BD9)/Datos!BD9," - ")</f>
        <v>-0.12305402666789494</v>
      </c>
      <c r="I9" s="515">
        <f>IF(ISNUMBER(((NºAsuntos!I9/NºAsuntos!G9)-Datos!BE9)/Datos!BE9),((NºAsuntos!I9/NºAsuntos!G9)-Datos!BE9)/Datos!BE9," - ")</f>
        <v>0.22014105676956874</v>
      </c>
      <c r="J9" s="521">
        <f>IF(ISNUMBER((('Resol  Asuntos'!D9/NºAsuntos!G9)-Datos!BF9)/Datos!BF9),(('Resol  Asuntos'!D9/NºAsuntos!G9)-Datos!BF9)/Datos!BF9," - ")</f>
        <v>3.818849883584005E-3</v>
      </c>
      <c r="K9" s="522">
        <f>IF(ISNUMBER((((NºAsuntos!C9+NºAsuntos!E9)/NºAsuntos!G9)-Datos!BG9)/Datos!BG9),(((NºAsuntos!C9+NºAsuntos!E9)/NºAsuntos!G9)-Datos!BG9)/Datos!BG9," - ")</f>
        <v>0.14749357119777848</v>
      </c>
    </row>
    <row r="10" spans="1:11">
      <c r="A10" s="450" t="str">
        <f>Datos!A10</f>
        <v>Jdos. Violencia contra la mujer</v>
      </c>
      <c r="B10" s="514">
        <f>IF(ISNUMBER((Datos!I10-Datos!S10)/Datos!S10),(Datos!I10-Datos!S10)/Datos!S10," - ")</f>
        <v>0</v>
      </c>
      <c r="C10" s="515">
        <f>IF(ISNUMBER((Datos!J10-Datos!T10)/Datos!T10),(Datos!J10-Datos!T10)/Datos!T10," - ")</f>
        <v>-0.10526315789473684</v>
      </c>
      <c r="D10" s="515">
        <f>IF(ISNUMBER((Datos!K10-Datos!U10)/Datos!U10),(Datos!K10-Datos!U10)/Datos!U10," - ")</f>
        <v>-0.52</v>
      </c>
      <c r="E10" s="515">
        <f>IF(ISNUMBER((Datos!L10-Datos!V10)/Datos!V10),(Datos!L10-Datos!V10)/Datos!V10," - ")</f>
        <v>0.14285714285714285</v>
      </c>
      <c r="F10" s="515">
        <f>IF(ISNUMBER((Datos!M10-Datos!W10)/Datos!W10),(Datos!M10-Datos!W10)/Datos!W10," - ")</f>
        <v>-0.625</v>
      </c>
      <c r="G10" s="516">
        <f>IF(ISNUMBER((Datos!N10-Datos!X10)/Datos!X10),(Datos!N10-Datos!X10)/Datos!X10," - ")</f>
        <v>-0.42857142857142855</v>
      </c>
      <c r="H10" s="514">
        <f>IF(ISNUMBER(((NºAsuntos!G10/NºAsuntos!E10)-Datos!BD10)/Datos!BD10),((NºAsuntos!G10/NºAsuntos!E10)-Datos!BD10)/Datos!BD10," - ")</f>
        <v>-0.46352941176470591</v>
      </c>
      <c r="I10" s="515">
        <f>IF(ISNUMBER(((NºAsuntos!I10/NºAsuntos!G10)-Datos!BE10)/Datos!BE10),((NºAsuntos!I10/NºAsuntos!G10)-Datos!BE10)/Datos!BE10," - ")</f>
        <v>1.3809523809523807</v>
      </c>
      <c r="J10" s="521">
        <f>IF(ISNUMBER((('Resol  Asuntos'!D10/NºAsuntos!G10)-Datos!BF10)/Datos!BF10),(('Resol  Asuntos'!D10/NºAsuntos!G10)-Datos!BF10)/Datos!BF10," - ")</f>
        <v>-0.21875000000000003</v>
      </c>
      <c r="K10" s="522">
        <f>IF(ISNUMBER((((NºAsuntos!C10+NºAsuntos!E10)/NºAsuntos!G10)-Datos!BG10)/Datos!BG10),(((NºAsuntos!C10+NºAsuntos!E10)/NºAsuntos!G10)-Datos!BG10)/Datos!BG10," - ")</f>
        <v>1.042483660130719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12</v>
      </c>
      <c r="E12" s="515">
        <f>IF(ISNUMBER(
   IF(J_V="SI",(Datos!L12-Datos!V12)/Datos!V12,(Datos!L12+Datos!AB12-(Datos!V12+Datos!AJ12))/(Datos!V12+Datos!AJ12))
     ),IF(J_V="SI",(Datos!L12-Datos!V12)/Datos!V12,(Datos!L12+Datos!AB12-(Datos!V12+Datos!AJ12))/(Datos!V12+Datos!AJ12))," - ")</f>
        <v>-0.92500000000000004</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f>IF(ISNUMBER(((NºAsuntos!I12/NºAsuntos!G12)-Datos!BE12)/Datos!BE12),((NºAsuntos!I12/NºAsuntos!G12)-Datos!BE12)/Datos!BE12," - ")</f>
        <v>-0.99423076923076914</v>
      </c>
      <c r="J12" s="521" t="str">
        <f>IF(ISNUMBER((('Resol  Asuntos'!D12/NºAsuntos!G12)-Datos!BF12)/Datos!BF12),(('Resol  Asuntos'!D12/NºAsuntos!G12)-Datos!BF12)/Datos!BF12," - ")</f>
        <v xml:space="preserve"> - </v>
      </c>
      <c r="K12" s="522">
        <f>IF(ISNUMBER((((NºAsuntos!C12+NºAsuntos!E12)/NºAsuntos!G12)-Datos!BG12)/Datos!BG12),(((NºAsuntos!C12+NºAsuntos!E12)/NºAsuntos!G12)-Datos!BG12)/Datos!BG12," - ")</f>
        <v>-0.96998123827392113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-8.1197604790419167E-2</v>
      </c>
      <c r="C14" s="1152">
        <f>IF(ISNUMBER(
   IF(J_V="SI",(Datos!J14-Datos!T14)/Datos!T14,(Datos!J14+Datos!Z14-(Datos!T14+Datos!AH14))/(Datos!T14+Datos!AH14))
     ),IF(J_V="SI",(Datos!J14-Datos!T14)/Datos!T14,(Datos!J14+Datos!Z14-(Datos!T14+Datos!AH14))/(Datos!T14+Datos!AH14))," - ")</f>
        <v>-0.11067193675889328</v>
      </c>
      <c r="D14" s="1152">
        <f>IF(ISNUMBER(
   IF(J_V="SI",(Datos!K14-Datos!U14)/Datos!U14,(Datos!K14+Datos!AA14-(Datos!U14+Datos!AI14))/(Datos!U14+Datos!AI14))
     ),IF(J_V="SI",(Datos!K14-Datos!U14)/Datos!U14,(Datos!K14+Datos!AA14-(Datos!U14+Datos!AI14))/(Datos!U14+Datos!AI14))," - ")</f>
        <v>-0.20465686274509803</v>
      </c>
      <c r="E14" s="1152">
        <f>IF(ISNUMBER(
   IF(J_V="SI",(Datos!L14-Datos!V14)/Datos!V14,(Datos!L14+Datos!AB14-(Datos!V14+Datos!AJ14))/(Datos!V14+Datos!AJ14))
     ),IF(J_V="SI",(Datos!L14-Datos!V14)/Datos!V14,(Datos!L14+Datos!AB14-(Datos!V14+Datos!AJ14))/(Datos!V14+Datos!AJ14))," - ")</f>
        <v>-3.7285607755406416E-2</v>
      </c>
      <c r="F14" s="1153">
        <f>IF(ISNUMBER((Datos!M14-Datos!W14)/Datos!W14),(Datos!M14-Datos!W14)/Datos!W14," - ")</f>
        <v>-0.20843373493975903</v>
      </c>
      <c r="G14" s="1154">
        <f>IF(ISNUMBER((Datos!N14-Datos!X14)/Datos!X14),(Datos!N14-Datos!X14)/Datos!X14," - ")</f>
        <v>-0.19323671497584541</v>
      </c>
      <c r="H14" s="1154">
        <f>IF(ISNUMBER(((NºAsuntos!G14/NºAsuntos!E14)-Datos!BD14)/Datos!BD14),((NºAsuntos!G14/NºAsuntos!E14)-Datos!BD14)/Datos!BD14," - ")</f>
        <v>-0.10568082788671024</v>
      </c>
      <c r="I14" s="1154">
        <f>IF(ISNUMBER(((NºAsuntos!I14/NºAsuntos!G14)-Datos!BE14)/Datos!BE14),((NºAsuntos!I14/NºAsuntos!G14)-Datos!BE14)/Datos!BE14," - ")</f>
        <v>0.2104390509577633</v>
      </c>
      <c r="J14" s="1154">
        <f>IF(ISNUMBER((('Resol  Asuntos'!D14/NºAsuntos!G14)-Datos!BF14)/Datos!BF14),(('Resol  Asuntos'!D14/NºAsuntos!G14)-Datos!BF14)/Datos!BF14," - ")</f>
        <v>-3.5481886394769387E-3</v>
      </c>
      <c r="K14" s="1154">
        <f>IF(ISNUMBER((((NºAsuntos!C14+NºAsuntos!E14)/NºAsuntos!G14)-Datos!BG14)/Datos!BG14),(((NºAsuntos!C14+NºAsuntos!E14)/NºAsuntos!G14)-Datos!BG14)/Datos!BG14," - ")</f>
        <v>0.14214915980233789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-0.18648130393096837</v>
      </c>
      <c r="C16" s="515">
        <f>IF(ISNUMBER(
   IF(D_I="SI",(Datos!J16-Datos!T16)/Datos!T16,(Datos!J16+Datos!AD16-(Datos!T16+Datos!AL16))/(Datos!T16+Datos!AL16))
     ),IF(D_I="SI",(Datos!J16-Datos!T16)/Datos!T16,(Datos!J16+Datos!AD16-(Datos!T16+Datos!AL16))/(Datos!T16+Datos!AL16))," - ")</f>
        <v>6.9861900893582449E-2</v>
      </c>
      <c r="D16" s="515">
        <f>IF(ISNUMBER(
   IF(D_I="SI",(Datos!K16-Datos!U16)/Datos!U16,(Datos!K16+Datos!AE16-(Datos!U16+Datos!AM16))/(Datos!U16+Datos!AM16))
     ),IF(D_I="SI",(Datos!K16-Datos!U16)/Datos!U16,(Datos!K16+Datos!AE16-(Datos!U16+Datos!AM16))/(Datos!U16+Datos!AM16))," - ")</f>
        <v>-0.14100064977257959</v>
      </c>
      <c r="E16" s="515">
        <f>IF(ISNUMBER(
   IF(D_I="SI",(Datos!L16-Datos!V16)/Datos!V16,(Datos!L16+Datos!AF16-(Datos!V16+Datos!AN16))/(Datos!V16+Datos!AN16))
     ),IF(D_I="SI",(Datos!L16-Datos!V16)/Datos!V16,(Datos!L16+Datos!AF16-(Datos!V16+Datos!AN16))/(Datos!V16+Datos!AN16))," - ")</f>
        <v>-0.16029246344206974</v>
      </c>
      <c r="F16" s="515">
        <f>IF(ISNUMBER((Datos!M16-Datos!W16)/Datos!W16),(Datos!M16-Datos!W16)/Datos!W16," - ")</f>
        <v>0.21025641025641026</v>
      </c>
      <c r="G16" s="516">
        <f>IF(ISNUMBER((Datos!N16-Datos!X16)/Datos!X16),(Datos!N16-Datos!X16)/Datos!X16," - ")</f>
        <v>-0.13366336633663367</v>
      </c>
      <c r="H16" s="514">
        <f>IF(ISNUMBER(((NºAsuntos!G16/NºAsuntos!E16)-Datos!BD16)/Datos!BD16),((NºAsuntos!G16/NºAsuntos!E16)-Datos!BD16)/Datos!BD16," - ")</f>
        <v>-0.19709324211848553</v>
      </c>
      <c r="I16" s="515">
        <f>IF(ISNUMBER(((NºAsuntos!I16/NºAsuntos!G16)-Datos!BE16)/Datos!BE16),((NºAsuntos!I16/NºAsuntos!G16)-Datos!BE16)/Datos!BE16," - ")</f>
        <v>-2.2458472948067673E-2</v>
      </c>
      <c r="J16" s="521">
        <f>IF(ISNUMBER((('Resol  Asuntos'!D16/NºAsuntos!G16)-Datos!BF16)/Datos!BF16),(('Resol  Asuntos'!D16/NºAsuntos!G16)-Datos!BF16)/Datos!BF16," - ")</f>
        <v>0.40891423251483772</v>
      </c>
      <c r="K16" s="522">
        <f>IF(ISNUMBER((((NºAsuntos!C16+NºAsuntos!E16)/NºAsuntos!G16)-Datos!BG16)/Datos!BG16),(((NºAsuntos!C16+NºAsuntos!E16)/NºAsuntos!G16)-Datos!BG16)/Datos!BG16," - ")</f>
        <v>5.7803357480398394E-2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6.4327485380116955E-2</v>
      </c>
      <c r="C18" s="515">
        <f>IF(ISNUMBER(
   IF(D_I="SI",(Datos!J18-Datos!T18)/Datos!T18,(Datos!J18+Datos!AD18-(Datos!T18+Datos!AL18))/(Datos!T18+Datos!AL18))
     ),IF(D_I="SI",(Datos!J18-Datos!T18)/Datos!T18,(Datos!J18+Datos!AD18-(Datos!T18+Datos!AL18))/(Datos!T18+Datos!AL18))," - ")</f>
        <v>-0.112</v>
      </c>
      <c r="D18" s="515">
        <f>IF(ISNUMBER(
   IF(D_I="SI",(Datos!K18-Datos!U18)/Datos!U18,(Datos!K18+Datos!AE18-(Datos!U18+Datos!AM18))/(Datos!U18+Datos!AM18))
     ),IF(D_I="SI",(Datos!K18-Datos!U18)/Datos!U18,(Datos!K18+Datos!AE18-(Datos!U18+Datos!AM18))/(Datos!U18+Datos!AM18))," - ")</f>
        <v>-0.20634920634920634</v>
      </c>
      <c r="E18" s="515">
        <f>IF(ISNUMBER(
   IF(D_I="SI",(Datos!L18-Datos!V18)/Datos!V18,(Datos!L18+Datos!AF18-(Datos!V18+Datos!AN18))/(Datos!V18+Datos!AN18))
     ),IF(D_I="SI",(Datos!L18-Datos!V18)/Datos!V18,(Datos!L18+Datos!AF18-(Datos!V18+Datos!AN18))/(Datos!V18+Datos!AN18))," - ")</f>
        <v>0.13529411764705881</v>
      </c>
      <c r="F18" s="515" t="str">
        <f>IF(ISNUMBER((Datos!M18-Datos!W18)/Datos!W18),(Datos!M18-Datos!W18)/Datos!W18," - ")</f>
        <v xml:space="preserve"> - </v>
      </c>
      <c r="G18" s="516">
        <f>IF(ISNUMBER((Datos!N18-Datos!X18)/Datos!X18),(Datos!N18-Datos!X18)/Datos!X18," - ")</f>
        <v>-0.10256410256410256</v>
      </c>
      <c r="H18" s="514">
        <f>IF(ISNUMBER(((NºAsuntos!G18/NºAsuntos!E18)-Datos!BD18)/Datos!BD18),((NºAsuntos!G18/NºAsuntos!E18)-Datos!BD18)/Datos!BD18," - ")</f>
        <v>-0.10624910624910625</v>
      </c>
      <c r="I18" s="515">
        <f>IF(ISNUMBER(((NºAsuntos!I18/NºAsuntos!G18)-Datos!BE18)/Datos!BE18),((NºAsuntos!I18/NºAsuntos!G18)-Datos!BE18)/Datos!BE18," - ")</f>
        <v>0.43047058823529399</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0.24722972972972976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-0.16784765279007971</v>
      </c>
      <c r="C23" s="1152">
        <f>IF(ISNUMBER(
   IF(Criterios!B14="SI",(Datos!J23-Datos!T23)/Datos!T23,(Datos!J23+Datos!AD23-(Datos!T23+Datos!AL23))/(Datos!T23+Datos!AL23))
     ),IF(Criterios!B14="SI",(Datos!J23-Datos!T23)/Datos!T23,(Datos!J23+Datos!AD23-(Datos!T23+Datos!AL23))/(Datos!T23+Datos!AL23))," - ")</f>
        <v>5.3097345132743362E-2</v>
      </c>
      <c r="D23" s="1152">
        <f>IF(ISNUMBER(
   IF(Criterios!B14="SI",(Datos!K23-Datos!U23)/Datos!U23,(Datos!K23+Datos!AE23-(Datos!U23+Datos!AM23))/(Datos!U23+Datos!AM23))
     ),IF(Criterios!B14="SI",(Datos!K23-Datos!U23)/Datos!U23,(Datos!K23+Datos!AE23-(Datos!U23+Datos!AM23))/(Datos!U23+Datos!AM23))," - ")</f>
        <v>-0.14594594594594595</v>
      </c>
      <c r="E23" s="1152">
        <f>IF(ISNUMBER(
   IF(Criterios!B14="SI",(Datos!L23-Datos!V23)/Datos!V23,(Datos!L23+Datos!AF23-(Datos!V23+Datos!AN23))/(Datos!V23+Datos!AN23))
     ),IF(Criterios!B14="SI",(Datos!L23-Datos!V23)/Datos!V23,(Datos!L23+Datos!AF23-(Datos!V23+Datos!AN23))/(Datos!V23+Datos!AN23))," - ")</f>
        <v>-0.1349409953822473</v>
      </c>
      <c r="F23" s="1153">
        <f>IF(ISNUMBER((Datos!M23-Datos!W23)/Datos!W23),(Datos!M23-Datos!W23)/Datos!W23," - ")</f>
        <v>0.23076923076923078</v>
      </c>
      <c r="G23" s="1154">
        <f>IF(ISNUMBER((Datos!N23-Datos!X23)/Datos!X23),(Datos!N23-Datos!X23)/Datos!X23," - ")</f>
        <v>-0.1309255079006772</v>
      </c>
      <c r="H23" s="1154">
        <f>IF(ISNUMBER(((NºAsuntos!G23/NºAsuntos!E23)-Datos!BD23)/Datos!BD23),((NºAsuntos!G23/NºAsuntos!E23)-Datos!BD23)/Datos!BD23," - ")</f>
        <v>-0.18900749488984786</v>
      </c>
      <c r="I23" s="1154">
        <f>IF(ISNUMBER(((NºAsuntos!I23/NºAsuntos!G23)-Datos!BE23)/Datos!BE23),((NºAsuntos!I23/NºAsuntos!G23)-Datos!BE23)/Datos!BE23," - ")</f>
        <v>1.2885543381545742E-2</v>
      </c>
      <c r="J23" s="1154">
        <f>IF(ISNUMBER((('Resol  Asuntos'!D23/NºAsuntos!G23)-Datos!BF23)/Datos!BF23),(('Resol  Asuntos'!D23/NºAsuntos!G23)-Datos!BF23)/Datos!BF23," - ")</f>
        <v>0.44109055501460565</v>
      </c>
      <c r="K23" s="1154">
        <f>IF(ISNUMBER((((NºAsuntos!C23+NºAsuntos!E23)/NºAsuntos!G23)-Datos!BG23)/Datos!BG23),(((NºAsuntos!C23+NºAsuntos!E23)/NºAsuntos!G23)-Datos!BG23)/Datos!BG23," - ")</f>
        <v>7.1422316868997582E-2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-0.11161200062179387</v>
      </c>
      <c r="C31" s="1092">
        <f>IF(ISNUMBER(
   IF(J_V="SI",(Datos!J31-Datos!T31)/Datos!T31,(Datos!J31+Datos!Z31-(Datos!T31+Datos!AH31))/(Datos!T31+Datos!AH31))
     ),IF(J_V="SI",(Datos!J31-Datos!T31)/Datos!T31,(Datos!J31+Datos!Z31-(Datos!T31+Datos!AH31))/(Datos!T31+Datos!AH31))," - ")</f>
        <v>-4.9545829892650703E-2</v>
      </c>
      <c r="D31" s="1092">
        <f>IF(ISNUMBER(
   IF(J_V="SI",(Datos!K31-Datos!U31)/Datos!U31,(Datos!K31+Datos!AA31-(Datos!U31+Datos!AI31))/(Datos!U31+Datos!AI31))
     ),IF(J_V="SI",(Datos!K31-Datos!U31)/Datos!U31,(Datos!K31+Datos!AA31-(Datos!U31+Datos!AI31))/(Datos!U31+Datos!AI31))," - ")</f>
        <v>-0.18088986141502553</v>
      </c>
      <c r="E31" s="1092">
        <f>IF(ISNUMBER(
   IF(J_V="SI",(Datos!L31-Datos!V31)/Datos!V31,(Datos!L31+Datos!AB31-(Datos!V31+Datos!AJ31))/(Datos!V31+Datos!AJ31))
     ),IF(J_V="SI",(Datos!L31-Datos!V31)/Datos!V31,(Datos!L31+Datos!AB31-(Datos!V31+Datos!AJ31))/(Datos!V31+Datos!AJ31))," - ")</f>
        <v>-6.9156061620897519E-2</v>
      </c>
      <c r="F31" s="1093">
        <f>IF(ISNUMBER((Datos!M31-Datos!W31)/Datos!W31),(Datos!M31-Datos!W31)/Datos!W31," - ")</f>
        <v>-0.1248780487804878</v>
      </c>
      <c r="G31" s="1094">
        <f>IF(ISNUMBER((Datos!N31-Datos!X31)/Datos!X31),(Datos!N31-Datos!X31)/Datos!X31," - ")</f>
        <v>-0.16102683780630106</v>
      </c>
      <c r="H31" s="1095">
        <f>IF(ISNUMBER((Tasas!B31-Datos!BD31)/Datos!BD31),(Tasas!B31-Datos!BD31)/Datos!BD31," - ")</f>
        <v>-0.13819080988149079</v>
      </c>
      <c r="I31" s="1096">
        <f>IF(ISNUMBER((Tasas!C31-Datos!BE31)/Datos!BE31),(Tasas!C31-Datos!BE31)/Datos!BE31," - ")</f>
        <v>0.13640876181455885</v>
      </c>
      <c r="J31" s="1097">
        <f>IF(ISNUMBER((Tasas!D31-Datos!BF31)/Datos!BF31),(Tasas!D31-Datos!BF31)/Datos!BF31," - ")</f>
        <v>6.9424636854407806E-2</v>
      </c>
      <c r="K31" s="1097">
        <f>IF(ISNUMBER((Tasas!E31-Datos!BG31)/Datos!BG31),(Tasas!E31-Datos!BG31)/Datos!BG31," - ")</f>
        <v>0.11192469859214128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LCtzdv0mqzn6lzAFcFalWdIof+h6YkZ/lgEDl7XDVQpZxg95+Bm9LoLTn959dZx4KzCZFPf/PLbLG3W0FAjOA==" saltValue="FYZAndONgTTqs+8WrTFC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LUGO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0.95717131474103589</v>
      </c>
      <c r="C9" s="498">
        <f>IF(ISNUMBER(NºAsuntos!I9/NºAsuntos!G9),NºAsuntos!I9/NºAsuntos!G9," - ")</f>
        <v>1.967741935483871</v>
      </c>
      <c r="D9" s="499">
        <f>IF(ISNUMBER('Resol  Asuntos'!D9/NºAsuntos!G9),'Resol  Asuntos'!D9/NºAsuntos!G9," - ")</f>
        <v>0.34027055150884494</v>
      </c>
      <c r="E9" s="500">
        <f>IF(ISNUMBER((NºAsuntos!C9+NºAsuntos!E9)/NºAsuntos!G9),(NºAsuntos!C9+NºAsuntos!E9)/NºAsuntos!G9," - ")</f>
        <v>2.9890738813735691</v>
      </c>
      <c r="G9" s="523"/>
    </row>
    <row r="10" spans="1:7">
      <c r="A10" s="450" t="str">
        <f>Datos!A10</f>
        <v>Jdos. Violencia contra la mujer</v>
      </c>
      <c r="B10" s="497">
        <f>IF(ISNUMBER(NºAsuntos!G10/NºAsuntos!E10),NºAsuntos!G10/NºAsuntos!E10," - ")</f>
        <v>0.70588235294117652</v>
      </c>
      <c r="C10" s="498">
        <f>IF(ISNUMBER(NºAsuntos!I10/NºAsuntos!G10),NºAsuntos!I10/NºAsuntos!G10," - ")</f>
        <v>7.333333333333333</v>
      </c>
      <c r="D10" s="499">
        <f>IF(ISNUMBER('Resol  Asuntos'!D10/NºAsuntos!G10),'Resol  Asuntos'!D10/NºAsuntos!G10," - ")</f>
        <v>0.25</v>
      </c>
      <c r="E10" s="500">
        <f>IF(ISNUMBER((NºAsuntos!C10+NºAsuntos!E10)/NºAsuntos!G10),(NºAsuntos!C10+NºAsuntos!E10)/NºAsuntos!G10," - ")</f>
        <v>8.3333333333333339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f>IF(ISNUMBER(NºAsuntos!I12/NºAsuntos!G12),NºAsuntos!I12/NºAsuntos!G12," - ")</f>
        <v>0.23076923076923078</v>
      </c>
      <c r="D12" s="499">
        <f>IF(ISNUMBER('Resol  Asuntos'!D12/NºAsuntos!G12),'Resol  Asuntos'!D12/NºAsuntos!G12," - ")</f>
        <v>0</v>
      </c>
      <c r="E12" s="500">
        <f>IF(ISNUMBER((NºAsuntos!C12+NºAsuntos!E12)/NºAsuntos!G12),(NºAsuntos!C12+NºAsuntos!E12)/NºAsuntos!G12," - ")</f>
        <v>1.2307692307692308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0.96148148148148149</v>
      </c>
      <c r="C14" s="1156">
        <f>IF(ISNUMBER(NºAsuntos!I14/NºAsuntos!G14),NºAsuntos!I14/NºAsuntos!G14," - ")</f>
        <v>1.9892141756548536</v>
      </c>
      <c r="D14" s="1157">
        <f>IF(ISNUMBER('Resol  Asuntos'!D14/NºAsuntos!G14),'Resol  Asuntos'!D14/NºAsuntos!G14," - ")</f>
        <v>0.33744221879815101</v>
      </c>
      <c r="E14" s="1158">
        <f>IF(ISNUMBER((NºAsuntos!C14+NºAsuntos!E14)/NºAsuntos!G14),(NºAsuntos!C14+NºAsuntos!E14)/NºAsuntos!G14," - ")</f>
        <v>3.0102722136620441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1.0037965072133637</v>
      </c>
      <c r="C16" s="498">
        <f>IF(ISNUMBER(NºAsuntos!I16/NºAsuntos!G16),NºAsuntos!I16/NºAsuntos!G16," - ")</f>
        <v>1.1293494704992435</v>
      </c>
      <c r="D16" s="499">
        <f>IF(ISNUMBER('Resol  Asuntos'!D16/NºAsuntos!G16),'Resol  Asuntos'!D16/NºAsuntos!G16," - ")</f>
        <v>0.17851739788199697</v>
      </c>
      <c r="E16" s="500">
        <f>IF(ISNUMBER((NºAsuntos!C16+NºAsuntos!E16)/NºAsuntos!G16),(NºAsuntos!C16+NºAsuntos!E16)/NºAsuntos!G16," - ")</f>
        <v>2.2798789712556733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0.90090090090090091</v>
      </c>
      <c r="C18" s="498">
        <f>IF(ISNUMBER(NºAsuntos!I18/NºAsuntos!G18),NºAsuntos!I18/NºAsuntos!G18," - ")</f>
        <v>1.93</v>
      </c>
      <c r="D18" s="499">
        <f>IF(ISNUMBER('Resol  Asuntos'!D18/NºAsuntos!G18),'Resol  Asuntos'!D18/NºAsuntos!G18," - ")</f>
        <v>0.04</v>
      </c>
      <c r="E18" s="500">
        <f>IF(ISNUMBER((NºAsuntos!C18+NºAsuntos!E18)/NºAsuntos!G18),(NºAsuntos!C18+NºAsuntos!E18)/NºAsuntos!G18," - ")</f>
        <v>2.93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0.99579831932773111</v>
      </c>
      <c r="C23" s="1156">
        <f>IF(ISNUMBER(NºAsuntos!I23/NºAsuntos!G23),NºAsuntos!I23/NºAsuntos!G23," - ")</f>
        <v>1.1856540084388185</v>
      </c>
      <c r="D23" s="1159">
        <f>IF(ISNUMBER('Resol  Asuntos'!D23/NºAsuntos!G23),'Resol  Asuntos'!D23/NºAsuntos!G23," - ")</f>
        <v>0.16877637130801687</v>
      </c>
      <c r="E23" s="1158">
        <f>IF(ISNUMBER((NºAsuntos!C23+NºAsuntos!E23)/NºAsuntos!G23),(NºAsuntos!C23+NºAsuntos!E23)/NºAsuntos!G23," - ")</f>
        <v>2.3255977496483826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0.97567332754126845</v>
      </c>
      <c r="C31" s="1099">
        <f>IF(ISNUMBER(NºAsuntos!I31/NºAsuntos!G31),NºAsuntos!I31/NºAsuntos!G31," - ")</f>
        <v>1.6500445235975068</v>
      </c>
      <c r="D31" s="1100">
        <f>IF(ISNUMBER('Resol  Asuntos'!D31/NºAsuntos!G31),'Resol  Asuntos'!D31/NºAsuntos!G31," - ")</f>
        <v>0.26625111308993765</v>
      </c>
      <c r="E31" s="1101">
        <f>IF(ISNUMBER((NºAsuntos!C31+NºAsuntos!E31)/NºAsuntos!G31),(NºAsuntos!C31+NºAsuntos!E31)/NºAsuntos!G31," - ")</f>
        <v>2.7212822796081921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uLoPZKzJY0he2MQ7EXKWb/y0HDadueivqEmt6twhstTXZRYEmf0e2fcK+Xc5jrbNc9R2Db5y+/RelrmMfBciA==" saltValue="S6PwLnNALXRVfs8XO/tXX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LUGO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380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445</v>
      </c>
      <c r="Y9" s="374">
        <f>SUM(W9:X9)</f>
        <v>445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4471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654</v>
      </c>
      <c r="AJ9" s="243" t="str">
        <f>IF(ISNUMBER(Datos!BW9),Datos!BW9," - ")</f>
        <v xml:space="preserve"> - </v>
      </c>
      <c r="AK9" s="242" t="str">
        <f>IF(ISNUMBER(Datos!BX9),Datos!BX9," - ")</f>
        <v xml:space="preserve"> - </v>
      </c>
      <c r="AL9" s="266">
        <f>IF(ISNUMBER(NºAsuntos!G9/NºAsuntos!E9),NºAsuntos!G9/NºAsuntos!E9," - ")</f>
        <v>0.95717131474103589</v>
      </c>
      <c r="AM9" s="284">
        <f>IF(ISNUMBER(((NºAsuntos!I9/NºAsuntos!G9)*11)/factor_trimestre),((NºAsuntos!I9/NºAsuntos!G9)*11)/factor_trimestre," - ")</f>
        <v>5.903225806451613</v>
      </c>
      <c r="AN9" s="267">
        <f>IF(ISNUMBER('Resol  Asuntos'!D9/NºAsuntos!G9),'Resol  Asuntos'!D9/NºAsuntos!G9," - ")</f>
        <v>0.34027055150884494</v>
      </c>
      <c r="AO9" s="268">
        <f>IF(ISNUMBER((NºAsuntos!C9+NºAsuntos!E9)/NºAsuntos!G9),(NºAsuntos!C9+NºAsuntos!E9)/NºAsuntos!G9," - ")</f>
        <v>2.9890738813735691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83</v>
      </c>
      <c r="G10" s="373">
        <f>IF(ISNUMBER(Datos!I10),Datos!I10," - ")</f>
        <v>83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88</v>
      </c>
      <c r="AB10" s="374">
        <f>IF(ISNUMBER(Datos!R10),Datos!R10," - ")</f>
        <v>73</v>
      </c>
      <c r="AC10" s="374">
        <f t="shared" ref="AC10:AC13" si="1">IF(ISNUMBER(AA10+AB10),AA10+AB10," - ")</f>
        <v>161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0.70588235294117652</v>
      </c>
      <c r="AM10" s="284">
        <f>IF(ISNUMBER(((NºAsuntos!I10/NºAsuntos!G10)*11)/factor_trimestre),((NºAsuntos!I10/NºAsuntos!G10)*11)/factor_trimestre," - ")</f>
        <v>22</v>
      </c>
      <c r="AN10" s="267">
        <f>IF(ISNUMBER('Resol  Asuntos'!D10/NºAsuntos!G10),'Resol  Asuntos'!D10/NºAsuntos!G10," - ")</f>
        <v>0.25</v>
      </c>
      <c r="AO10" s="268">
        <f>IF(ISNUMBER((NºAsuntos!C10+NºAsuntos!E10)/NºAsuntos!G10),(NºAsuntos!C10+NºAsuntos!E10)/NºAsuntos!G10," - ")</f>
        <v>8.3333333333333339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202</v>
      </c>
      <c r="Y12" s="374">
        <f t="shared" si="0"/>
        <v>202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f>IF(ISNUMBER(((NºAsuntos!I12/NºAsuntos!G12)*11)/factor_trimestre),((NºAsuntos!I12/NºAsuntos!G12)*11)/factor_trimestre," - ")</f>
        <v>0.6923076923076924</v>
      </c>
      <c r="AN12" s="267">
        <f>IF(ISNUMBER('Resol  Asuntos'!D12/NºAsuntos!G12),'Resol  Asuntos'!D12/NºAsuntos!G12," - ")</f>
        <v>0</v>
      </c>
      <c r="AO12" s="268">
        <f>IF(ISNUMBER((NºAsuntos!C12+NºAsuntos!E12)/NºAsuntos!G12),(NºAsuntos!C12+NºAsuntos!E12)/NºAsuntos!G12," - ")</f>
        <v>1.2307692307692308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83</v>
      </c>
      <c r="G14" s="1163">
        <f t="shared" si="5"/>
        <v>83</v>
      </c>
      <c r="H14" s="1162">
        <f t="shared" si="5"/>
        <v>0</v>
      </c>
      <c r="I14" s="1164">
        <f t="shared" si="5"/>
        <v>0</v>
      </c>
      <c r="J14" s="1164">
        <f t="shared" si="5"/>
        <v>0</v>
      </c>
      <c r="K14" s="1164">
        <f t="shared" si="5"/>
        <v>0</v>
      </c>
      <c r="L14" s="1164">
        <f t="shared" si="5"/>
        <v>385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647</v>
      </c>
      <c r="Y14" s="1165">
        <f t="shared" si="6"/>
        <v>659</v>
      </c>
      <c r="Z14" s="1165">
        <f t="shared" si="6"/>
        <v>0</v>
      </c>
      <c r="AA14" s="1165">
        <f t="shared" si="6"/>
        <v>88</v>
      </c>
      <c r="AB14" s="1165">
        <f t="shared" si="6"/>
        <v>4794</v>
      </c>
      <c r="AC14" s="1165">
        <f t="shared" si="6"/>
        <v>161</v>
      </c>
      <c r="AD14" s="1165">
        <f t="shared" si="6"/>
        <v>0</v>
      </c>
      <c r="AE14" s="1169">
        <f t="shared" si="6"/>
        <v>0</v>
      </c>
      <c r="AF14" s="1162">
        <f t="shared" si="6"/>
        <v>0</v>
      </c>
      <c r="AG14" s="1170">
        <f t="shared" si="6"/>
        <v>0</v>
      </c>
      <c r="AH14" s="1167">
        <f t="shared" si="6"/>
        <v>0</v>
      </c>
      <c r="AI14" s="1162">
        <f t="shared" si="6"/>
        <v>657</v>
      </c>
      <c r="AJ14" s="1164">
        <f t="shared" si="6"/>
        <v>0</v>
      </c>
      <c r="AK14" s="1167">
        <f>SUBTOTAL(9,AK9:AK13)</f>
        <v>0</v>
      </c>
      <c r="AL14" s="1171">
        <f>IF(ISNUMBER(NºAsuntos!G14/NºAsuntos!E14),NºAsuntos!G14/NºAsuntos!E14," - ")</f>
        <v>0.96148148148148149</v>
      </c>
      <c r="AM14" s="1171">
        <f>IF(ISNUMBER(((NºAsuntos!I14/NºAsuntos!G14)*11)/factor_trimestre),((NºAsuntos!I14/NºAsuntos!G14)*11)/factor_trimestre," - ")</f>
        <v>5.9676425269645614</v>
      </c>
      <c r="AN14" s="1172">
        <f>IF(ISNUMBER('Resol  Asuntos'!D14/NºAsuntos!G14),'Resol  Asuntos'!D14/NºAsuntos!G14," - ")</f>
        <v>0.33744221879815101</v>
      </c>
      <c r="AO14" s="1173">
        <f>IF(ISNUMBER((NºAsuntos!C14+NºAsuntos!E14)/NºAsuntos!G14),(NºAsuntos!C14+NºAsuntos!E14)/NºAsuntos!G14," - ")</f>
        <v>3.0102722136620441</v>
      </c>
      <c r="AP14" s="1174" t="str">
        <f t="shared" si="2"/>
        <v xml:space="preserve"> - </v>
      </c>
      <c r="AQ14" s="1174">
        <f>IF(ISNUMBER((H14-W14+K14)/(F14)),(H14-W14+K14)/(F14)," - ")</f>
        <v>-0.14457831325301204</v>
      </c>
      <c r="AR14" s="1175">
        <f>IF(ISNUMBER((Datos!P14-Datos!Q14)/(Datos!R14-Datos!P14+Datos!Q14)),(Datos!P14-Datos!Q14)/(Datos!R14-Datos!P14+Datos!Q14)," - ")</f>
        <v>-5.1819620253164556E-2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1498</v>
      </c>
      <c r="G16" s="373">
        <f>IF(ISNUMBER(IF(D_I="SI",Datos!I16,Datos!I16+Datos!AC16)),IF(D_I="SI",Datos!I16,Datos!I16+Datos!AC16)," - ")</f>
        <v>1697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1322</v>
      </c>
      <c r="X16" s="240">
        <f>IF(ISNUMBER(Datos!Q16),Datos!Q16," - ")</f>
        <v>47</v>
      </c>
      <c r="Y16" s="374">
        <f>SUM(W16)</f>
        <v>1322</v>
      </c>
      <c r="Z16" s="375" t="str">
        <f>IF(ISNUMBER(Datos!CC16),Datos!CC16," - ")</f>
        <v xml:space="preserve"> - </v>
      </c>
      <c r="AA16" s="372">
        <f>IF(ISNUMBER(IF(D_I="SI",Datos!L16,Datos!L16+Datos!AF16)),IF(D_I="SI",Datos!L16,Datos!L16+Datos!AF16)," - ")</f>
        <v>1493</v>
      </c>
      <c r="AB16" s="374">
        <f>IF(ISNUMBER(Datos!R16),Datos!R16," - ")</f>
        <v>251</v>
      </c>
      <c r="AC16" s="374">
        <f t="shared" ref="AC16:AC22" si="8">IF(ISNUMBER(AA16+AB16),AA16+AB16," - ")</f>
        <v>1744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236</v>
      </c>
      <c r="AJ16" s="245" t="str">
        <f>IF(ISNUMBER(Datos!BW16),Datos!BW16," - ")</f>
        <v xml:space="preserve"> - </v>
      </c>
      <c r="AK16" s="246" t="str">
        <f>IF(ISNUMBER(Datos!BX16),Datos!BX16," - ")</f>
        <v xml:space="preserve"> - </v>
      </c>
      <c r="AL16" s="266">
        <f>IF(ISNUMBER(NºAsuntos!G16/NºAsuntos!E16),NºAsuntos!G16/NºAsuntos!E16," - ")</f>
        <v>1.0037965072133637</v>
      </c>
      <c r="AM16" s="284">
        <f>IF(ISNUMBER(((NºAsuntos!I16/NºAsuntos!G16)*11)/factor_trimestre),((NºAsuntos!I16/NºAsuntos!G16)*11)/factor_trimestre," - ")</f>
        <v>3.3880484114977309</v>
      </c>
      <c r="AN16" s="267">
        <f>IF(ISNUMBER('Resol  Asuntos'!D16/NºAsuntos!G16),'Resol  Asuntos'!D16/NºAsuntos!G16," - ")</f>
        <v>0.17851739788199697</v>
      </c>
      <c r="AO16" s="268">
        <f>IF(ISNUMBER((NºAsuntos!C16+NºAsuntos!E16)/NºAsuntos!G16),(NºAsuntos!C16+NºAsuntos!E16)/NºAsuntos!G16," - ")</f>
        <v>2.2798789712556733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100</v>
      </c>
      <c r="X18" s="240">
        <f>IF(ISNUMBER(Datos!Q18),Datos!Q18," - ")</f>
        <v>1</v>
      </c>
      <c r="Y18" s="374">
        <f t="shared" si="9"/>
        <v>101</v>
      </c>
      <c r="Z18" s="375" t="str">
        <f>IF(ISNUMBER(Datos!CC18),Datos!CC18," - ")</f>
        <v xml:space="preserve"> - </v>
      </c>
      <c r="AA18" s="372">
        <f>IF(ISNUMBER(Datos!L18),Datos!L18,"-")</f>
        <v>193</v>
      </c>
      <c r="AB18" s="374">
        <f>IF(ISNUMBER(Datos!R18),Datos!R18," - ")</f>
        <v>0</v>
      </c>
      <c r="AC18" s="374">
        <f t="shared" si="8"/>
        <v>193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0.90090090090090091</v>
      </c>
      <c r="AM18" s="284">
        <f>IF(ISNUMBER(((NºAsuntos!I18/NºAsuntos!G18)*11)/factor_trimestre),((NºAsuntos!I18/NºAsuntos!G18)*11)/factor_trimestre," - ")</f>
        <v>5.79</v>
      </c>
      <c r="AN18" s="267">
        <f>IF(ISNUMBER('Resol  Asuntos'!D18/NºAsuntos!G18),'Resol  Asuntos'!D18/NºAsuntos!G18," - ")</f>
        <v>0.04</v>
      </c>
      <c r="AO18" s="268">
        <f>IF(ISNUMBER((NºAsuntos!C18+NºAsuntos!E18)/NºAsuntos!G18),(NºAsuntos!C18+NºAsuntos!E18)/NºAsuntos!G18," - ")</f>
        <v>2.93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1498</v>
      </c>
      <c r="G23" s="1163">
        <f>SUBTOTAL(9,G16:G22)</f>
        <v>1879</v>
      </c>
      <c r="H23" s="1162">
        <f t="shared" ref="H23:O23" si="13">SUBTOTAL(9,H15:H22)</f>
        <v>0</v>
      </c>
      <c r="I23" s="1164">
        <f t="shared" si="13"/>
        <v>0</v>
      </c>
      <c r="J23" s="1164">
        <f t="shared" si="13"/>
        <v>0</v>
      </c>
      <c r="K23" s="1164">
        <f t="shared" si="13"/>
        <v>0</v>
      </c>
      <c r="L23" s="1164">
        <f t="shared" si="13"/>
        <v>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1422</v>
      </c>
      <c r="X23" s="1164">
        <f t="shared" si="14"/>
        <v>48</v>
      </c>
      <c r="Y23" s="1165">
        <f t="shared" si="14"/>
        <v>1423</v>
      </c>
      <c r="Z23" s="1165">
        <f t="shared" si="14"/>
        <v>0</v>
      </c>
      <c r="AA23" s="1165">
        <f t="shared" si="14"/>
        <v>1686</v>
      </c>
      <c r="AB23" s="1165">
        <f t="shared" si="14"/>
        <v>251</v>
      </c>
      <c r="AC23" s="1165">
        <f t="shared" si="14"/>
        <v>1937</v>
      </c>
      <c r="AD23" s="1165">
        <f t="shared" si="14"/>
        <v>0</v>
      </c>
      <c r="AE23" s="1169">
        <f t="shared" si="14"/>
        <v>0</v>
      </c>
      <c r="AF23" s="1162">
        <f t="shared" si="14"/>
        <v>0</v>
      </c>
      <c r="AG23" s="1170">
        <f t="shared" si="14"/>
        <v>0</v>
      </c>
      <c r="AH23" s="1167">
        <f t="shared" si="14"/>
        <v>0</v>
      </c>
      <c r="AI23" s="1162">
        <f t="shared" si="14"/>
        <v>240</v>
      </c>
      <c r="AJ23" s="1164">
        <f t="shared" si="14"/>
        <v>0</v>
      </c>
      <c r="AK23" s="1167">
        <f t="shared" si="14"/>
        <v>0</v>
      </c>
      <c r="AL23" s="1171">
        <f>IF(ISNUMBER(NºAsuntos!G23/NºAsuntos!E23),NºAsuntos!G23/NºAsuntos!E23," - ")</f>
        <v>0.99579831932773111</v>
      </c>
      <c r="AM23" s="1171">
        <f>IF(ISNUMBER(((NºAsuntos!I23/NºAsuntos!G23)*11)/factor_trimestre),((NºAsuntos!I23/NºAsuntos!G23)*11)/factor_trimestre," - ")</f>
        <v>3.5569620253164556</v>
      </c>
      <c r="AN23" s="1172">
        <f>IF(ISNUMBER('Resol  Asuntos'!D23/NºAsuntos!G23),'Resol  Asuntos'!D23/NºAsuntos!G23," - ")</f>
        <v>0.16877637130801687</v>
      </c>
      <c r="AO23" s="1173">
        <f>IF(ISNUMBER((NºAsuntos!C23+NºAsuntos!E23)/NºAsuntos!G23),(NºAsuntos!C23+NºAsuntos!E23)/NºAsuntos!G23," - ")</f>
        <v>2.3255977496483826</v>
      </c>
      <c r="AP23" s="1174" t="str">
        <f t="shared" si="2"/>
        <v xml:space="preserve"> - </v>
      </c>
      <c r="AQ23" s="1174">
        <f>IF(ISNUMBER((H23-W23+K23)/(F23)),(H23-W23+K23)/(F23)," - ")</f>
        <v>-0.94926568758344454</v>
      </c>
      <c r="AR23" s="1175">
        <f>IF(ISNUMBER((Datos!P23-Datos!Q23)/(Datos!R23-Datos!P23+Datos!Q23)),(Datos!P23-Datos!Q23)/(Datos!R23-Datos!P23+Datos!Q23)," - ")</f>
        <v>-3.4615384615384617E-2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1581</v>
      </c>
      <c r="G31" s="1118">
        <f t="shared" si="20"/>
        <v>1962</v>
      </c>
      <c r="H31" s="1117">
        <f t="shared" si="20"/>
        <v>0</v>
      </c>
      <c r="I31" s="1119">
        <f t="shared" si="20"/>
        <v>0</v>
      </c>
      <c r="J31" s="1119">
        <f t="shared" si="20"/>
        <v>0</v>
      </c>
      <c r="K31" s="1180">
        <f t="shared" si="20"/>
        <v>0</v>
      </c>
      <c r="L31" s="1119">
        <f t="shared" si="20"/>
        <v>424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1434</v>
      </c>
      <c r="X31" s="1118">
        <f t="shared" si="21"/>
        <v>695</v>
      </c>
      <c r="Y31" s="1125">
        <f t="shared" si="21"/>
        <v>2082</v>
      </c>
      <c r="Z31" s="1125">
        <f t="shared" si="21"/>
        <v>0</v>
      </c>
      <c r="AA31" s="1125">
        <f t="shared" si="21"/>
        <v>1774</v>
      </c>
      <c r="AB31" s="1125">
        <f t="shared" si="21"/>
        <v>5045</v>
      </c>
      <c r="AC31" s="1125">
        <f t="shared" si="21"/>
        <v>2098</v>
      </c>
      <c r="AD31" s="1125">
        <f t="shared" si="21"/>
        <v>0</v>
      </c>
      <c r="AE31" s="1127">
        <f t="shared" si="21"/>
        <v>0</v>
      </c>
      <c r="AF31" s="1128">
        <f t="shared" si="21"/>
        <v>0</v>
      </c>
      <c r="AG31" s="1129">
        <f t="shared" si="21"/>
        <v>0</v>
      </c>
      <c r="AH31" s="1127">
        <f t="shared" si="21"/>
        <v>0</v>
      </c>
      <c r="AI31" s="1117">
        <f t="shared" si="21"/>
        <v>897</v>
      </c>
      <c r="AJ31" s="1117">
        <f t="shared" si="21"/>
        <v>0</v>
      </c>
      <c r="AK31" s="1127">
        <f t="shared" si="21"/>
        <v>0</v>
      </c>
      <c r="AL31" s="1183">
        <f>IF(ISNUMBER(NºAsuntos!G31/NºAsuntos!E31),NºAsuntos!G31/NºAsuntos!E31," - ")</f>
        <v>0.97567332754126845</v>
      </c>
      <c r="AM31" s="1184">
        <f>IF(ISNUMBER(((NºAsuntos!I31/NºAsuntos!G31)*11)/factor_trimestre),((NºAsuntos!I31/NºAsuntos!G31)*11)/factor_trimestre," - ")</f>
        <v>4.9501335707925209</v>
      </c>
      <c r="AN31" s="1184">
        <f>IF(ISNUMBER('Resol  Asuntos'!D31/NºAsuntos!G31),'Resol  Asuntos'!D31/NºAsuntos!G31," - ")</f>
        <v>0.26625111308993765</v>
      </c>
      <c r="AO31" s="1185">
        <f>IF(ISNUMBER((NºAsuntos!C31+NºAsuntos!E31)/NºAsuntos!G31),(NºAsuntos!C31+NºAsuntos!E31)/NºAsuntos!G31," - ")</f>
        <v>2.7212822796081921</v>
      </c>
      <c r="AP31" s="1186" t="str">
        <f t="shared" si="2"/>
        <v xml:space="preserve"> - </v>
      </c>
      <c r="AQ31" s="1187">
        <f>IF(OR(ISNUMBER(FIND("01",Criterios!A8,1)),ISNUMBER(FIND("02",Criterios!A8,1)),ISNUMBER(FIND("03",Criterios!A8,1)),ISNUMBER(FIND("04",Criterios!A8,1))),(I31-W31+K31)/(F31-K31),(H31-W31+K31)/(F31-K31))</f>
        <v>-0.90702087286527511</v>
      </c>
      <c r="AR31" s="1188">
        <f>IF(ISNUMBER((Datos!P31-Datos!Q31)/(Datos!R31-Datos!P31+Datos!Q31)),(Datos!P31-Datos!Q31)/(Datos!R31-Datos!P31+Datos!Q31)," - ")</f>
        <v>-5.0978179082016552E-2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490.5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1.7404711333664431</v>
      </c>
      <c r="F33" s="276">
        <f>IF(ISNUMBER(STDEV(F8:F30)),STDEV(F8:F30),"-")</f>
        <v>715.71239900901401</v>
      </c>
      <c r="G33" s="277">
        <f>IF(ISNUMBER(STDEV(G8:G30)),STDEV(G8:G30),"-")</f>
        <v>804.68538661303614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626.99715196436784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268.91601332427609</v>
      </c>
      <c r="AJ33" s="276">
        <f t="shared" si="25"/>
        <v>0</v>
      </c>
      <c r="AK33" s="278">
        <f t="shared" si="25"/>
        <v>0</v>
      </c>
      <c r="AL33" s="273">
        <f t="shared" si="25"/>
        <v>0.11142404036955235</v>
      </c>
      <c r="AM33" s="274">
        <f t="shared" si="25"/>
        <v>6.9881652829543164</v>
      </c>
      <c r="AN33" s="274">
        <f t="shared" si="25"/>
        <v>0.13358556824766757</v>
      </c>
      <c r="AO33" s="275">
        <f t="shared" si="25"/>
        <v>2.3066492348570731</v>
      </c>
      <c r="AP33" s="317" t="str">
        <f t="shared" si="25"/>
        <v>-</v>
      </c>
      <c r="AQ33" s="318">
        <f t="shared" si="25"/>
        <v>0.56899989912424664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WkWlRw+B5NIYvKsHJRVqn7BGX9bkmrigF6ZAh4VUhU1X1bVu5hmcu6q3ixJZDOC4BD6dbohBUZowwYHkHQF6g==" saltValue="j1c8T+Oqj/Mv1E01KZv2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LUGO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-0.20437956204379562</v>
      </c>
      <c r="I9" s="395">
        <f>IF(ISNUMBER((Tasas!C9-Datos!BE9)/Datos!BE9),(Tasas!C9-Datos!BE9)/Datos!BE9," - ")</f>
        <v>0.22014105676956874</v>
      </c>
      <c r="J9" s="394">
        <f>IF(ISNUMBER((Tasas!D9-Datos!BF9)/Datos!BF9),(Tasas!D9-Datos!BF9)/Datos!BF9," - ")</f>
        <v>3.818849883584005E-3</v>
      </c>
      <c r="K9" s="396">
        <f>IF(ISNUMBER((Tasas!E9-Datos!BG9)/Datos!BG9),(Tasas!E9-Datos!BG9)/Datos!BG9," - ")</f>
        <v>0.14749357119777848</v>
      </c>
      <c r="M9" t="e">
        <f>IF(Monitorios="SI",Datos!CE9,0)</f>
        <v>#REF!</v>
      </c>
      <c r="N9" t="e">
        <f>IF(Monitorios="SI",Datos!CF9,0)</f>
        <v>#REF!</v>
      </c>
      <c r="O9" t="e">
        <f>IF(Monitorios="SI",Datos!CG9,0)</f>
        <v>#REF!</v>
      </c>
      <c r="P9" t="e">
        <f>IF(Monitorios="SI",Datos!CH9,0)</f>
        <v>#REF!</v>
      </c>
      <c r="Q9">
        <f>IF(J_V="SI",0,Datos!AG9)</f>
        <v>239</v>
      </c>
      <c r="R9">
        <f>IF(J_V="SI",0,Datos!AH9)</f>
        <v>265</v>
      </c>
      <c r="S9">
        <f>IF(J_V="SI",0,Datos!AI9)</f>
        <v>300</v>
      </c>
      <c r="T9">
        <f>IF(J_V="SI",0,Datos!AJ9)</f>
        <v>211</v>
      </c>
    </row>
    <row r="10" spans="2:20" ht="14.25">
      <c r="B10" s="300" t="s">
        <v>321</v>
      </c>
      <c r="C10" s="7" t="str">
        <f>Datos!A10</f>
        <v>Jdos. Violencia contra la mujer</v>
      </c>
      <c r="D10" s="397">
        <f>IF(ISNUMBER((Datos!I10-Datos!S10)/Datos!S10),(Datos!I10-Datos!S10)/Datos!S10," - ")</f>
        <v>0</v>
      </c>
      <c r="E10" s="393">
        <f>IF(ISNUMBER((Datos!J10-Datos!T10)/Datos!T10),(Datos!J10-Datos!T10)/Datos!T10," - ")</f>
        <v>-0.10526315789473684</v>
      </c>
      <c r="F10" s="393">
        <f>IF(ISNUMBER((Datos!K10-Datos!U10)/Datos!U10),(Datos!K10-Datos!U10)/Datos!U10," - ")</f>
        <v>-0.52</v>
      </c>
      <c r="G10" s="394">
        <f>IF(ISNUMBER((Datos!L10-Datos!V10)/Datos!V10),(Datos!L10-Datos!V10)/Datos!V10," - ")</f>
        <v>0.14285714285714285</v>
      </c>
      <c r="H10" s="244">
        <f>IF(ISNUMBER((Datos!M10-Datos!W10)/Datos!W10),(Datos!M10-Datos!W10)/Datos!W10," - ")</f>
        <v>-0.625</v>
      </c>
      <c r="I10" s="395">
        <f>IF(ISNUMBER((Tasas!C10-Datos!BE10)/Datos!BE10),(Tasas!C10-Datos!BE10)/Datos!BE10," - ")</f>
        <v>1.3809523809523807</v>
      </c>
      <c r="J10" s="394">
        <f>IF(ISNUMBER((Tasas!D10-Datos!BF10)/Datos!BF10),(Tasas!D10-Datos!BF10)/Datos!BF10," - ")</f>
        <v>-0.21875000000000003</v>
      </c>
      <c r="K10" s="396">
        <f>IF(ISNUMBER((Tasas!E10-Datos!BG10)/Datos!BG10),(Tasas!E10-Datos!BG10)/Datos!BG10," - ")</f>
        <v>1.042483660130719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-0.99423076923076914</v>
      </c>
      <c r="J12" s="394" t="str">
        <f>IF(ISNUMBER((Tasas!D12-Datos!BF12)/Datos!BF12),(Tasas!D12-Datos!BF12)/Datos!BF12," - ")</f>
        <v xml:space="preserve"> - </v>
      </c>
      <c r="K12" s="396">
        <f>IF(ISNUMBER((Tasas!E12-Datos!BG12)/Datos!BG12),(Tasas!E12-Datos!BG12)/Datos!BG12," - ")</f>
        <v>-0.96998123827392113</v>
      </c>
      <c r="M12" t="e">
        <f>IF(Monitorios="SI",Datos!CE12,0)</f>
        <v>#REF!</v>
      </c>
      <c r="N12" t="e">
        <f>IF(Monitorios="SI",Datos!CF12,0)</f>
        <v>#REF!</v>
      </c>
      <c r="O12" t="e">
        <f>IF(Monitorios="SI",Datos!CG12,0)</f>
        <v>#REF!</v>
      </c>
      <c r="P12" t="e">
        <f>IF(Monitorios="SI",Datos!CH12,0)</f>
        <v>#REF!</v>
      </c>
      <c r="Q12">
        <f>IF(J_V="SI",0,Datos!AG12)</f>
        <v>0</v>
      </c>
      <c r="R12">
        <f>IF(J_V="SI",0,Datos!AH12)</f>
        <v>4</v>
      </c>
      <c r="S12">
        <f>IF(J_V="SI",0,Datos!AI12)</f>
        <v>1</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-0.20843373493975903</v>
      </c>
      <c r="I14" s="402">
        <f>IF(ISNUMBER((Tasas!C14-Datos!BE14)/Datos!BE14),(Tasas!C14-Datos!BE14)/Datos!BE14," - ")</f>
        <v>0.2104390509577633</v>
      </c>
      <c r="J14" s="400">
        <f>IF(ISNUMBER((Tasas!D14-Datos!BF14)/Datos!BF14),(Tasas!D14-Datos!BF14)/Datos!BF14," - ")</f>
        <v>-3.5481886394769387E-3</v>
      </c>
      <c r="K14" s="403">
        <f>IF(ISNUMBER((Tasas!E14-Datos!BG14)/Datos!BG14),(Tasas!E14-Datos!BG14)/Datos!BG14," - ")</f>
        <v>0.14214915980233789</v>
      </c>
      <c r="M14" t="e">
        <f>IF(Monitorios="SI",Datos!CE14,0)</f>
        <v>#REF!</v>
      </c>
      <c r="N14" t="e">
        <f>IF(Monitorios="SI",Datos!CF14,0)</f>
        <v>#REF!</v>
      </c>
      <c r="O14" t="e">
        <f>IF(Monitorios="SI",Datos!CG14,0)</f>
        <v>#REF!</v>
      </c>
      <c r="P14" t="e">
        <f>IF(Monitorios="SI",Datos!CH14,0)</f>
        <v>#REF!</v>
      </c>
      <c r="Q14">
        <f>IF(J_V="SI",0,Datos!AG14)</f>
        <v>239</v>
      </c>
      <c r="R14">
        <f>IF(J_V="SI",0,Datos!AH14)</f>
        <v>269</v>
      </c>
      <c r="S14">
        <f>IF(J_V="SI",0,Datos!AI14)</f>
        <v>301</v>
      </c>
      <c r="T14">
        <f>IF(J_V="SI",0,Datos!AJ14)</f>
        <v>214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-0.18648130393096837</v>
      </c>
      <c r="E16" s="393">
        <f>IF(ISNUMBER(
   IF(D_I="SI",(Datos!J16-Datos!T16)/Datos!T16,(Datos!J16+Datos!AD16-(Datos!T16+Datos!AL16))/(Datos!T16+Datos!AL16))
     ),IF(D_I="SI",(Datos!J16-Datos!T16)/Datos!T16,(Datos!J16+Datos!AD16-(Datos!T16+Datos!AL16))/(Datos!T16+Datos!AL16))," - ")</f>
        <v>6.9861900893582449E-2</v>
      </c>
      <c r="F16" s="393">
        <f>IF(ISNUMBER(
   IF(D_I="SI",(Datos!K16-Datos!U16)/Datos!U16,(Datos!K16+Datos!AE16-(Datos!U16+Datos!AM16))/(Datos!U16+Datos!AM16))
     ),IF(D_I="SI",(Datos!K16-Datos!U16)/Datos!U16,(Datos!K16+Datos!AE16-(Datos!U16+Datos!AM16))/(Datos!U16+Datos!AM16))," - ")</f>
        <v>-0.14100064977257959</v>
      </c>
      <c r="G16" s="394">
        <f>IF(ISNUMBER(
   IF(D_I="SI",(Datos!L16-Datos!V16)/Datos!V16,(Datos!L16+Datos!AF16-(Datos!V16+Datos!AN16))/(Datos!V16+Datos!AN16))
     ),IF(D_I="SI",(Datos!L16-Datos!V16)/Datos!V16,(Datos!L16+Datos!AF16-(Datos!V16+Datos!AN16))/(Datos!V16+Datos!AN16))," - ")</f>
        <v>-0.16029246344206974</v>
      </c>
      <c r="H16" s="244">
        <f>IF(ISNUMBER((Datos!M16-Datos!W16)/Datos!W16),(Datos!M16-Datos!W16)/Datos!W16," - ")</f>
        <v>0.21025641025641026</v>
      </c>
      <c r="I16" s="395">
        <f>IF(ISNUMBER((Tasas!C16-Datos!BE16)/Datos!BE16),(Tasas!C16-Datos!BE16)/Datos!BE16," - ")</f>
        <v>-2.2458472948067673E-2</v>
      </c>
      <c r="J16" s="394">
        <f>IF(ISNUMBER((Tasas!D16-Datos!BF16)/Datos!BF16),(Tasas!D16-Datos!BF16)/Datos!BF16," - ")</f>
        <v>0.40891423251483772</v>
      </c>
      <c r="K16" s="396">
        <f>IF(ISNUMBER((Tasas!E16-Datos!BG16)/Datos!BG16),(Tasas!E16-Datos!BG16)/Datos!BG16," - ")</f>
        <v>5.7803357480398394E-2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6.4327485380116955E-2</v>
      </c>
      <c r="E18" s="393">
        <f>IF(ISNUMBER(
   IF(D_I="SI",(Datos!J18-Datos!T18)/Datos!T18,(Datos!J18+Datos!AD18-(Datos!T18+Datos!AL18))/(Datos!T18+Datos!AL18))
     ),IF(D_I="SI",(Datos!J18-Datos!T18)/Datos!T18,(Datos!J18+Datos!AD18-(Datos!T18+Datos!AL18))/(Datos!T18+Datos!AL18))," - ")</f>
        <v>-0.112</v>
      </c>
      <c r="F18" s="393">
        <f>IF(ISNUMBER(
   IF(D_I="SI",(Datos!K18-Datos!U18)/Datos!U18,(Datos!K18+Datos!AE18-(Datos!U18+Datos!AM18))/(Datos!U18+Datos!AM18))
     ),IF(D_I="SI",(Datos!K18-Datos!U18)/Datos!U18,(Datos!K18+Datos!AE18-(Datos!U18+Datos!AM18))/(Datos!U18+Datos!AM18))," - ")</f>
        <v>-0.20634920634920634</v>
      </c>
      <c r="G18" s="394">
        <f>IF(ISNUMBER(
   IF(D_I="SI",(Datos!L18-Datos!V18)/Datos!V18,(Datos!L18+Datos!AF18-(Datos!V18+Datos!AN18))/(Datos!V18+Datos!AN18))
     ),IF(D_I="SI",(Datos!L18-Datos!V18)/Datos!V18,(Datos!L18+Datos!AF18-(Datos!V18+Datos!AN18))/(Datos!V18+Datos!AN18))," - ")</f>
        <v>0.13529411764705881</v>
      </c>
      <c r="H18" s="244" t="str">
        <f>IF(ISNUMBER((Datos!M18-Datos!W18)/Datos!W18),(Datos!M18-Datos!W18)/Datos!W18," - ")</f>
        <v xml:space="preserve"> - </v>
      </c>
      <c r="I18" s="395">
        <f>IF(ISNUMBER((Tasas!C18-Datos!BE18)/Datos!BE18),(Tasas!C18-Datos!BE18)/Datos!BE18," - ")</f>
        <v>0.43047058823529399</v>
      </c>
      <c r="J18" s="394" t="str">
        <f>IF(ISNUMBER((Tasas!D18-Datos!BF18)/Datos!BF18),(Tasas!D18-Datos!BF18)/Datos!BF18," - ")</f>
        <v xml:space="preserve"> - </v>
      </c>
      <c r="K18" s="396">
        <f>IF(ISNUMBER((Tasas!E18-Datos!BG18)/Datos!BG18),(Tasas!E18-Datos!BG18)/Datos!BG18," - ")</f>
        <v>0.24722972972972976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-0.16784765279007971</v>
      </c>
      <c r="E23" s="399">
        <f>IF(ISNUMBER(
   IF(D_I="SI",(Datos!J23-Datos!T23)/Datos!T23,(Datos!J23+Datos!AD23-(Datos!T23+Datos!AL23))/(Datos!T23+Datos!AL23))
     ),IF(D_I="SI",(Datos!J23-Datos!T23)/Datos!T23,(Datos!J23+Datos!AD23-(Datos!T23+Datos!AL23))/(Datos!T23+Datos!AL23))," - ")</f>
        <v>5.3097345132743362E-2</v>
      </c>
      <c r="F23" s="399">
        <f>IF(ISNUMBER(
   IF(D_I="SI",(Datos!K23-Datos!U23)/Datos!U23,(Datos!K23+Datos!AE23-(Datos!U23+Datos!AM23))/(Datos!U23+Datos!AM23))
     ),IF(D_I="SI",(Datos!K23-Datos!U23)/Datos!U23,(Datos!K23+Datos!AE23-(Datos!U23+Datos!AM23))/(Datos!U23+Datos!AM23))," - ")</f>
        <v>-0.14594594594594595</v>
      </c>
      <c r="G23" s="400">
        <f>IF(ISNUMBER(
   IF(D_I="SI",(Datos!L23-Datos!V23)/Datos!V23,(Datos!L23+Datos!AF23-(Datos!V23+Datos!AN23))/(Datos!V23+Datos!AN23))
     ),IF(D_I="SI",(Datos!L23-Datos!V23)/Datos!V23,(Datos!L23+Datos!AF23-(Datos!V23+Datos!AN23))/(Datos!V23+Datos!AN23))," - ")</f>
        <v>-0.1349409953822473</v>
      </c>
      <c r="H23" s="401">
        <f>IF(ISNUMBER((Datos!M23-Datos!W23)/Datos!W23),(Datos!M23-Datos!W23)/Datos!W23," - ")</f>
        <v>0.23076923076923078</v>
      </c>
      <c r="I23" s="402">
        <f>IF(ISNUMBER((Tasas!C23-Datos!BE23)/Datos!BE23),(Tasas!C23-Datos!BE23)/Datos!BE23," - ")</f>
        <v>1.2885543381545742E-2</v>
      </c>
      <c r="J23" s="400">
        <f>IF(ISNUMBER((Tasas!D23-Datos!BF23)/Datos!BF23),(Tasas!D23-Datos!BF23)/Datos!BF23," - ")</f>
        <v>0.44109055501460565</v>
      </c>
      <c r="K23" s="403">
        <f>IF(ISNUMBER((Tasas!E23-Datos!BG23)/Datos!BG23),(Tasas!E23-Datos!BG23)/Datos!BG23," - ")</f>
        <v>7.1422316868997582E-2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-0.11161200062179387</v>
      </c>
      <c r="E31" s="409">
        <f>IF(ISNUMBER(
   IF(J_V="SI",(Datos!J31-Datos!T31)/Datos!T31,(Datos!J31+Datos!Z31-(Datos!T31+Datos!AH31))/(Datos!T31+Datos!AH31))
     ),IF(J_V="SI",(Datos!J31-Datos!T31)/Datos!T31,(Datos!J31+Datos!Z31-(Datos!T31+Datos!AH31))/(Datos!T31+Datos!AH31))," - ")</f>
        <v>-4.9545829892650703E-2</v>
      </c>
      <c r="F31" s="409">
        <f>IF(ISNUMBER(
   IF(J_V="SI",(Datos!K31-Datos!U31)/Datos!U31,(Datos!K31+Datos!AA31-(Datos!U31+Datos!AI31))/(Datos!U31+Datos!AI31))
     ),IF(J_V="SI",(Datos!K31-Datos!U31)/Datos!U31,(Datos!K31+Datos!AA31-(Datos!U31+Datos!AI31))/(Datos!U31+Datos!AI31))," - ")</f>
        <v>-0.18088986141502553</v>
      </c>
      <c r="G31" s="410">
        <f>IF(ISNUMBER(
   IF(J_V="SI",(Datos!L31-Datos!V31)/Datos!V31,(Datos!L31+Datos!AB31-(Datos!V31+Datos!AJ31))/(Datos!V31+Datos!AJ31))
     ),IF(J_V="SI",(Datos!L31-Datos!V31)/Datos!V31,(Datos!L31+Datos!AB31-(Datos!V31+Datos!AJ31))/(Datos!V31+Datos!AJ31))," - ")</f>
        <v>-6.9156061620897519E-2</v>
      </c>
      <c r="H31" s="411">
        <f>IF(ISNUMBER((Datos!M31-Datos!W31)/Datos!W31),(Datos!M31-Datos!W31)/Datos!W31," - ")</f>
        <v>-0.1248780487804878</v>
      </c>
      <c r="I31" s="408">
        <f>IF(ISNUMBER((Tasas!C31-Datos!BE31)/Datos!BE31),(Tasas!C31-Datos!BE31)/Datos!BE31," - ")</f>
        <v>0.13640876181455885</v>
      </c>
      <c r="J31" s="409">
        <f>IF(ISNUMBER((Tasas!D31-Datos!BF31)/Datos!BF31),(Tasas!D31-Datos!BF31)/Datos!BF31," - ")</f>
        <v>6.9424636854407806E-2</v>
      </c>
      <c r="K31" s="410">
        <f>IF(ISNUMBER((Tasas!E31-Datos!BG31)/Datos!BG31),(Tasas!E31-Datos!BG31)/Datos!BG31," - ")</f>
        <v>0.11192469859214128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0.42844643113985365</v>
      </c>
      <c r="E33" s="303">
        <f t="shared" si="1"/>
        <v>9.8490335766445364E-2</v>
      </c>
      <c r="F33" s="303">
        <f t="shared" si="1"/>
        <v>0.18024918096279194</v>
      </c>
      <c r="G33" s="304">
        <f t="shared" si="1"/>
        <v>0.46790067535170998</v>
      </c>
      <c r="H33" s="310">
        <f t="shared" si="1"/>
        <v>0.35428509773385108</v>
      </c>
      <c r="I33" s="302">
        <f t="shared" si="1"/>
        <v>0.70181035616628384</v>
      </c>
      <c r="J33" s="303">
        <f t="shared" si="1"/>
        <v>0.28717833507405266</v>
      </c>
      <c r="K33" s="304">
        <f t="shared" si="1"/>
        <v>0.58612121431311459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pSE1raiuXFzhVXdz505hx8ufjiwVjIOlpxWSTw2d8iqIFNnDVwH3x4TFDgI2wWBJ0NHlZnKLvKzWMQXpQ1uUg==" saltValue="umJRlgGleLbgWOKnvDNB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